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Сайт\2024\shild\"/>
    </mc:Choice>
  </mc:AlternateContent>
  <xr:revisionPtr revIDLastSave="0" documentId="13_ncr:1_{FDE59120-12CE-4061-955C-9DEC52272A72}" xr6:coauthVersionLast="45" xr6:coauthVersionMax="45" xr10:uidLastSave="{00000000-0000-0000-0000-000000000000}"/>
  <bookViews>
    <workbookView xWindow="28680" yWindow="-120" windowWidth="29040" windowHeight="16440" xr2:uid="{00000000-000D-0000-FFFF-FFFF00000000}"/>
  </bookViews>
  <sheets>
    <sheet name="price_site_xls"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06" i="2" l="1"/>
  <c r="B1406" i="2"/>
  <c r="A1406" i="2"/>
  <c r="C1405" i="2"/>
  <c r="B1405" i="2"/>
  <c r="A1405" i="2"/>
  <c r="C1404" i="2"/>
  <c r="B1404" i="2"/>
  <c r="A1404" i="2"/>
  <c r="C1403" i="2"/>
  <c r="B1403" i="2"/>
  <c r="A1403" i="2"/>
  <c r="C1402" i="2"/>
  <c r="B1402" i="2"/>
  <c r="A1402" i="2"/>
  <c r="C1401" i="2"/>
  <c r="B1401" i="2"/>
  <c r="A1401" i="2"/>
  <c r="C1400" i="2"/>
  <c r="B1400" i="2"/>
  <c r="A1400" i="2"/>
  <c r="C1399" i="2"/>
  <c r="B1399" i="2"/>
  <c r="A1399" i="2"/>
  <c r="C1398" i="2"/>
  <c r="B1398" i="2"/>
  <c r="A1398" i="2"/>
  <c r="C1397" i="2"/>
  <c r="B1397" i="2"/>
  <c r="A1397" i="2"/>
  <c r="C1396" i="2"/>
  <c r="B1396" i="2"/>
  <c r="A1396" i="2"/>
  <c r="C1395" i="2"/>
  <c r="B1395" i="2"/>
  <c r="A1395" i="2"/>
  <c r="C1394" i="2"/>
  <c r="B1394" i="2"/>
  <c r="A1394" i="2"/>
  <c r="C1393" i="2"/>
  <c r="B1393" i="2"/>
  <c r="A1393" i="2"/>
  <c r="C1392" i="2"/>
  <c r="B1392" i="2"/>
  <c r="A1392" i="2"/>
  <c r="C1391" i="2"/>
  <c r="B1391" i="2"/>
  <c r="A1391" i="2"/>
  <c r="C1390" i="2"/>
  <c r="B1390" i="2"/>
  <c r="A1390" i="2"/>
  <c r="C1389" i="2"/>
  <c r="B1389" i="2"/>
  <c r="A1389" i="2"/>
  <c r="C1388" i="2"/>
  <c r="B1388" i="2"/>
  <c r="A1388" i="2"/>
  <c r="C1387" i="2"/>
  <c r="B1387" i="2"/>
  <c r="A1387" i="2"/>
  <c r="C1386" i="2"/>
  <c r="B1386" i="2"/>
  <c r="A1386" i="2"/>
  <c r="C1385" i="2"/>
  <c r="B1385" i="2"/>
  <c r="A1385" i="2"/>
  <c r="C1384" i="2"/>
  <c r="B1384" i="2"/>
  <c r="A1384" i="2"/>
  <c r="C1383" i="2"/>
  <c r="B1383" i="2"/>
  <c r="A1383" i="2"/>
  <c r="C1382" i="2"/>
  <c r="B1382" i="2"/>
  <c r="A1382" i="2"/>
  <c r="C1381" i="2"/>
  <c r="B1381" i="2"/>
  <c r="A1381" i="2"/>
  <c r="C1380" i="2"/>
  <c r="B1380" i="2"/>
  <c r="A1380" i="2"/>
  <c r="C1379" i="2"/>
  <c r="B1379" i="2"/>
  <c r="A1379" i="2"/>
  <c r="C1378" i="2"/>
  <c r="B1378" i="2"/>
  <c r="A1378" i="2"/>
  <c r="C1377" i="2"/>
  <c r="B1377" i="2"/>
  <c r="A1377" i="2"/>
  <c r="C1376" i="2"/>
  <c r="B1376" i="2"/>
  <c r="A1376" i="2"/>
  <c r="C1375" i="2"/>
  <c r="B1375" i="2"/>
  <c r="A1375" i="2"/>
  <c r="C1374" i="2"/>
  <c r="B1374" i="2"/>
  <c r="A1374" i="2"/>
  <c r="C1373" i="2"/>
  <c r="B1373" i="2"/>
  <c r="A1373" i="2"/>
  <c r="C1372" i="2"/>
  <c r="B1372" i="2"/>
  <c r="A1372" i="2"/>
  <c r="C1371" i="2"/>
  <c r="B1371" i="2"/>
  <c r="A1371" i="2"/>
  <c r="C1370" i="2"/>
  <c r="B1370" i="2"/>
  <c r="A1370" i="2"/>
  <c r="C1369" i="2"/>
  <c r="B1369" i="2"/>
  <c r="A1369" i="2"/>
  <c r="C1368" i="2"/>
  <c r="B1368" i="2"/>
  <c r="A1368" i="2"/>
  <c r="C1367" i="2"/>
  <c r="B1367" i="2"/>
  <c r="A1367" i="2"/>
  <c r="C1366" i="2"/>
  <c r="B1366" i="2"/>
  <c r="A1366" i="2"/>
  <c r="C1365" i="2"/>
  <c r="B1365" i="2"/>
  <c r="A1365" i="2"/>
  <c r="C1364" i="2"/>
  <c r="B1364" i="2"/>
  <c r="A1364" i="2"/>
  <c r="C1363" i="2"/>
  <c r="B1363" i="2"/>
  <c r="A1363" i="2"/>
  <c r="C1362" i="2"/>
  <c r="B1362" i="2"/>
  <c r="A1362" i="2"/>
  <c r="C1361" i="2"/>
  <c r="B1361" i="2"/>
  <c r="A1361" i="2"/>
  <c r="C1360" i="2"/>
  <c r="B1360" i="2"/>
  <c r="A1360" i="2"/>
  <c r="C1359" i="2"/>
  <c r="B1359" i="2"/>
  <c r="A1359" i="2"/>
  <c r="C1358" i="2"/>
  <c r="B1358" i="2"/>
  <c r="A1358" i="2"/>
  <c r="C1357" i="2"/>
  <c r="B1357" i="2"/>
  <c r="A1357" i="2"/>
  <c r="C1356" i="2"/>
  <c r="B1356" i="2"/>
  <c r="A1356" i="2"/>
  <c r="C1355" i="2"/>
  <c r="B1355" i="2"/>
  <c r="A1355" i="2"/>
  <c r="C1354" i="2"/>
  <c r="B1354" i="2"/>
  <c r="A1354" i="2"/>
  <c r="C1353" i="2"/>
  <c r="B1353" i="2"/>
  <c r="A1353" i="2"/>
  <c r="C1352" i="2"/>
  <c r="B1352" i="2"/>
  <c r="A1352" i="2"/>
  <c r="C1351" i="2"/>
  <c r="B1351" i="2"/>
  <c r="A1351" i="2"/>
  <c r="C1350" i="2"/>
  <c r="B1350" i="2"/>
  <c r="A1350" i="2"/>
  <c r="C1349" i="2"/>
  <c r="B1349" i="2"/>
  <c r="A1349" i="2"/>
  <c r="C1348" i="2"/>
  <c r="B1348" i="2"/>
  <c r="A1348" i="2"/>
  <c r="C1347" i="2"/>
  <c r="B1347" i="2"/>
  <c r="A1347" i="2"/>
  <c r="C1346" i="2"/>
  <c r="B1346" i="2"/>
  <c r="A1346" i="2"/>
  <c r="C1345" i="2"/>
  <c r="B1345" i="2"/>
  <c r="A1345" i="2"/>
  <c r="C1344" i="2"/>
  <c r="B1344" i="2"/>
  <c r="A1344" i="2"/>
  <c r="C1343" i="2"/>
  <c r="B1343" i="2"/>
  <c r="A1343" i="2"/>
  <c r="C1342" i="2"/>
  <c r="B1342" i="2"/>
  <c r="A1342" i="2"/>
  <c r="C1341" i="2"/>
  <c r="B1341" i="2"/>
  <c r="A1341" i="2"/>
  <c r="C1340" i="2"/>
  <c r="B1340" i="2"/>
  <c r="A1340" i="2"/>
  <c r="C1339" i="2"/>
  <c r="B1339" i="2"/>
  <c r="A1339" i="2"/>
  <c r="C1338" i="2"/>
  <c r="B1338" i="2"/>
  <c r="A1338" i="2"/>
  <c r="C1337" i="2"/>
  <c r="B1337" i="2"/>
  <c r="A1337" i="2"/>
  <c r="C1336" i="2"/>
  <c r="B1336" i="2"/>
  <c r="A1336" i="2"/>
  <c r="C1335" i="2"/>
  <c r="B1335" i="2"/>
  <c r="A1335" i="2"/>
  <c r="C1334" i="2"/>
  <c r="B1334" i="2"/>
  <c r="A1334" i="2"/>
  <c r="C1333" i="2"/>
  <c r="B1333" i="2"/>
  <c r="A1333" i="2"/>
  <c r="C1332" i="2"/>
  <c r="B1332" i="2"/>
  <c r="A1332" i="2"/>
  <c r="C1331" i="2"/>
  <c r="B1331" i="2"/>
  <c r="A1331" i="2"/>
  <c r="C1330" i="2"/>
  <c r="B1330" i="2"/>
  <c r="A1330" i="2"/>
  <c r="C1329" i="2"/>
  <c r="B1329" i="2"/>
  <c r="A1329" i="2"/>
  <c r="C1328" i="2"/>
  <c r="B1328" i="2"/>
  <c r="A1328" i="2"/>
  <c r="C1327" i="2"/>
  <c r="B1327" i="2"/>
  <c r="A1327" i="2"/>
  <c r="C1326" i="2"/>
  <c r="B1326" i="2"/>
  <c r="A1326" i="2"/>
  <c r="C1325" i="2"/>
  <c r="B1325" i="2"/>
  <c r="A1325" i="2"/>
  <c r="C1324" i="2"/>
  <c r="B1324" i="2"/>
  <c r="A1324" i="2"/>
  <c r="C1323" i="2"/>
  <c r="B1323" i="2"/>
  <c r="A1323" i="2"/>
  <c r="C1322" i="2"/>
  <c r="B1322" i="2"/>
  <c r="A1322" i="2"/>
  <c r="C1321" i="2"/>
  <c r="B1321" i="2"/>
  <c r="A1321" i="2"/>
  <c r="C1320" i="2"/>
  <c r="B1320" i="2"/>
  <c r="A1320" i="2"/>
  <c r="C1319" i="2"/>
  <c r="B1319" i="2"/>
  <c r="A1319" i="2"/>
  <c r="C1318" i="2"/>
  <c r="B1318" i="2"/>
  <c r="A1318" i="2"/>
  <c r="C1317" i="2"/>
  <c r="B1317" i="2"/>
  <c r="A1317" i="2"/>
  <c r="C1316" i="2"/>
  <c r="B1316" i="2"/>
  <c r="A1316" i="2"/>
  <c r="C1315" i="2"/>
  <c r="B1315" i="2"/>
  <c r="A1315" i="2"/>
  <c r="C1314" i="2"/>
  <c r="B1314" i="2"/>
  <c r="A1314" i="2"/>
  <c r="C1313" i="2"/>
  <c r="B1313" i="2"/>
  <c r="A1313" i="2"/>
  <c r="C1312" i="2"/>
  <c r="B1312" i="2"/>
  <c r="A1312" i="2"/>
  <c r="C1311" i="2"/>
  <c r="B1311" i="2"/>
  <c r="A1311" i="2"/>
  <c r="C1310" i="2"/>
  <c r="B1310" i="2"/>
  <c r="A1310" i="2"/>
  <c r="C1309" i="2"/>
  <c r="B1309" i="2"/>
  <c r="A1309" i="2"/>
  <c r="C1308" i="2"/>
  <c r="B1308" i="2"/>
  <c r="A1308" i="2"/>
  <c r="C1307" i="2"/>
  <c r="B1307" i="2"/>
  <c r="A1307" i="2"/>
  <c r="C1306" i="2"/>
  <c r="B1306" i="2"/>
  <c r="A1306" i="2"/>
  <c r="C1305" i="2"/>
  <c r="B1305" i="2"/>
  <c r="A1305" i="2"/>
  <c r="C1304" i="2"/>
  <c r="B1304" i="2"/>
  <c r="A1304" i="2"/>
  <c r="C1303" i="2"/>
  <c r="B1303" i="2"/>
  <c r="A1303" i="2"/>
  <c r="C1302" i="2"/>
  <c r="B1302" i="2"/>
  <c r="A1302" i="2"/>
  <c r="C1301" i="2"/>
  <c r="B1301" i="2"/>
  <c r="A1301" i="2"/>
  <c r="C1300" i="2"/>
  <c r="B1300" i="2"/>
  <c r="A1300" i="2"/>
  <c r="C1299" i="2"/>
  <c r="B1299" i="2"/>
  <c r="A1299" i="2"/>
  <c r="C1298" i="2"/>
  <c r="B1298" i="2"/>
  <c r="A1298" i="2"/>
  <c r="C1297" i="2"/>
  <c r="B1297" i="2"/>
  <c r="A1297" i="2"/>
  <c r="C1296" i="2"/>
  <c r="B1296" i="2"/>
  <c r="A1296" i="2"/>
  <c r="C1295" i="2"/>
  <c r="B1295" i="2"/>
  <c r="A1295" i="2"/>
  <c r="C1294" i="2"/>
  <c r="B1294" i="2"/>
  <c r="A1294" i="2"/>
  <c r="C1293" i="2"/>
  <c r="B1293" i="2"/>
  <c r="A1293" i="2"/>
  <c r="C1292" i="2"/>
  <c r="B1292" i="2"/>
  <c r="A1292" i="2"/>
  <c r="C1291" i="2"/>
  <c r="B1291" i="2"/>
  <c r="A1291" i="2"/>
  <c r="C1290" i="2"/>
  <c r="B1290" i="2"/>
  <c r="A1290" i="2"/>
  <c r="C1289" i="2"/>
  <c r="B1289" i="2"/>
  <c r="A1289" i="2"/>
  <c r="C1288" i="2"/>
  <c r="B1288" i="2"/>
  <c r="A1288" i="2"/>
  <c r="C1287" i="2"/>
  <c r="B1287" i="2"/>
  <c r="A1287" i="2"/>
  <c r="C1286" i="2"/>
  <c r="B1286" i="2"/>
  <c r="A1286" i="2"/>
  <c r="C1285" i="2"/>
  <c r="B1285" i="2"/>
  <c r="A1285" i="2"/>
  <c r="C1284" i="2"/>
  <c r="B1284" i="2"/>
  <c r="A1284" i="2"/>
  <c r="C1283" i="2"/>
  <c r="B1283" i="2"/>
  <c r="A1283" i="2"/>
  <c r="C1282" i="2"/>
  <c r="B1282" i="2"/>
  <c r="A1282" i="2"/>
  <c r="C1281" i="2"/>
  <c r="B1281" i="2"/>
  <c r="A1281" i="2"/>
  <c r="C1280" i="2"/>
  <c r="B1280" i="2"/>
  <c r="A1280" i="2"/>
  <c r="C1279" i="2"/>
  <c r="B1279" i="2"/>
  <c r="A1279" i="2"/>
  <c r="C1278" i="2"/>
  <c r="B1278" i="2"/>
  <c r="A1278" i="2"/>
  <c r="C1277" i="2"/>
  <c r="B1277" i="2"/>
  <c r="A1277" i="2"/>
  <c r="C1276" i="2"/>
  <c r="B1276" i="2"/>
  <c r="A1276" i="2"/>
  <c r="C1275" i="2"/>
  <c r="B1275" i="2"/>
  <c r="A1275" i="2"/>
  <c r="C1274" i="2"/>
  <c r="B1274" i="2"/>
  <c r="A1274" i="2"/>
  <c r="C1273" i="2"/>
  <c r="B1273" i="2"/>
  <c r="A1273" i="2"/>
  <c r="C1272" i="2"/>
  <c r="B1272" i="2"/>
  <c r="A1272" i="2"/>
  <c r="C1271" i="2"/>
  <c r="B1271" i="2"/>
  <c r="A1271" i="2"/>
  <c r="C1270" i="2"/>
  <c r="B1270" i="2"/>
  <c r="A1270" i="2"/>
  <c r="C1269" i="2"/>
  <c r="B1269" i="2"/>
  <c r="A1269" i="2"/>
  <c r="C1268" i="2"/>
  <c r="B1268" i="2"/>
  <c r="A1268" i="2"/>
  <c r="C1267" i="2"/>
  <c r="B1267" i="2"/>
  <c r="A1267" i="2"/>
  <c r="C1266" i="2"/>
  <c r="B1266" i="2"/>
  <c r="A1266" i="2"/>
  <c r="C1265" i="2"/>
  <c r="B1265" i="2"/>
  <c r="A1265" i="2"/>
  <c r="C1264" i="2"/>
  <c r="B1264" i="2"/>
  <c r="A1264" i="2"/>
  <c r="C1263" i="2"/>
  <c r="B1263" i="2"/>
  <c r="A1263" i="2"/>
  <c r="C1262" i="2"/>
  <c r="B1262" i="2"/>
  <c r="A1262" i="2"/>
  <c r="C1261" i="2"/>
  <c r="B1261" i="2"/>
  <c r="A1261" i="2"/>
  <c r="C1260" i="2"/>
  <c r="B1260" i="2"/>
  <c r="A1260" i="2"/>
  <c r="C1259" i="2"/>
  <c r="B1259" i="2"/>
  <c r="A1259" i="2"/>
  <c r="C1258" i="2"/>
  <c r="B1258" i="2"/>
  <c r="A1258" i="2"/>
  <c r="C1257" i="2"/>
  <c r="B1257" i="2"/>
  <c r="A1257" i="2"/>
  <c r="C1256" i="2"/>
  <c r="B1256" i="2"/>
  <c r="A1256" i="2"/>
  <c r="C1255" i="2"/>
  <c r="B1255" i="2"/>
  <c r="A1255" i="2"/>
  <c r="C1254" i="2"/>
  <c r="B1254" i="2"/>
  <c r="A1254" i="2"/>
  <c r="C1253" i="2"/>
  <c r="B1253" i="2"/>
  <c r="A1253" i="2"/>
  <c r="C1252" i="2"/>
  <c r="B1252" i="2"/>
  <c r="A1252" i="2"/>
  <c r="C1251" i="2"/>
  <c r="B1251" i="2"/>
  <c r="A1251" i="2"/>
  <c r="C1250" i="2"/>
  <c r="B1250" i="2"/>
  <c r="A1250" i="2"/>
  <c r="C1249" i="2"/>
  <c r="B1249" i="2"/>
  <c r="A1249" i="2"/>
  <c r="C1248" i="2"/>
  <c r="B1248" i="2"/>
  <c r="A1248" i="2"/>
  <c r="C1247" i="2"/>
  <c r="B1247" i="2"/>
  <c r="A1247" i="2"/>
  <c r="C1246" i="2"/>
  <c r="B1246" i="2"/>
  <c r="A1246" i="2"/>
  <c r="C1245" i="2"/>
  <c r="B1245" i="2"/>
  <c r="A1245" i="2"/>
  <c r="C1244" i="2"/>
  <c r="B1244" i="2"/>
  <c r="A1244" i="2"/>
  <c r="C1243" i="2"/>
  <c r="B1243" i="2"/>
  <c r="A1243" i="2"/>
  <c r="C1242" i="2"/>
  <c r="B1242" i="2"/>
  <c r="A1242" i="2"/>
  <c r="C1241" i="2"/>
  <c r="B1241" i="2"/>
  <c r="A1241" i="2"/>
  <c r="C1240" i="2"/>
  <c r="B1240" i="2"/>
  <c r="A1240" i="2"/>
  <c r="C1239" i="2"/>
  <c r="B1239" i="2"/>
  <c r="A1239" i="2"/>
  <c r="C1238" i="2"/>
  <c r="B1238" i="2"/>
  <c r="A1238" i="2"/>
  <c r="C1237" i="2"/>
  <c r="B1237" i="2"/>
  <c r="A1237" i="2"/>
  <c r="C1236" i="2"/>
  <c r="B1236" i="2"/>
  <c r="A1236" i="2"/>
  <c r="C1235" i="2"/>
  <c r="B1235" i="2"/>
  <c r="A1235" i="2"/>
  <c r="C1234" i="2"/>
  <c r="B1234" i="2"/>
  <c r="A1234" i="2"/>
  <c r="C1233" i="2"/>
  <c r="B1233" i="2"/>
  <c r="A1233" i="2"/>
  <c r="C1232" i="2"/>
  <c r="B1232" i="2"/>
  <c r="A1232" i="2"/>
  <c r="C1231" i="2"/>
  <c r="B1231" i="2"/>
  <c r="A1231" i="2"/>
  <c r="C1230" i="2"/>
  <c r="B1230" i="2"/>
  <c r="A1230" i="2"/>
  <c r="C1229" i="2"/>
  <c r="B1229" i="2"/>
  <c r="A1229" i="2"/>
  <c r="C1228" i="2"/>
  <c r="B1228" i="2"/>
  <c r="A1228" i="2"/>
  <c r="C1227" i="2"/>
  <c r="B1227" i="2"/>
  <c r="A1227" i="2"/>
  <c r="C1226" i="2"/>
  <c r="B1226" i="2"/>
  <c r="A1226" i="2"/>
  <c r="C1225" i="2"/>
  <c r="B1225" i="2"/>
  <c r="A1225" i="2"/>
  <c r="C1224" i="2"/>
  <c r="B1224" i="2"/>
  <c r="A1224" i="2"/>
  <c r="C1223" i="2"/>
  <c r="B1223" i="2"/>
  <c r="A1223" i="2"/>
  <c r="C1222" i="2"/>
  <c r="B1222" i="2"/>
  <c r="A1222" i="2"/>
  <c r="C1221" i="2"/>
  <c r="B1221" i="2"/>
  <c r="A1221" i="2"/>
  <c r="C1220" i="2"/>
  <c r="B1220" i="2"/>
  <c r="A1220" i="2"/>
  <c r="C1219" i="2"/>
  <c r="B1219" i="2"/>
  <c r="A1219" i="2"/>
  <c r="C1218" i="2"/>
  <c r="B1218" i="2"/>
  <c r="A1218" i="2"/>
  <c r="C1217" i="2"/>
  <c r="B1217" i="2"/>
  <c r="A1217" i="2"/>
  <c r="C1216" i="2"/>
  <c r="B1216" i="2"/>
  <c r="A1216" i="2"/>
  <c r="C1215" i="2"/>
  <c r="B1215" i="2"/>
  <c r="A1215" i="2"/>
  <c r="C1214" i="2"/>
  <c r="B1214" i="2"/>
  <c r="A1214" i="2"/>
  <c r="C1213" i="2"/>
  <c r="B1213" i="2"/>
  <c r="A1213" i="2"/>
  <c r="C1212" i="2"/>
  <c r="B1212" i="2"/>
  <c r="A1212" i="2"/>
  <c r="C1211" i="2"/>
  <c r="B1211" i="2"/>
  <c r="A1211" i="2"/>
  <c r="C1210" i="2"/>
  <c r="B1210" i="2"/>
  <c r="A1210" i="2"/>
  <c r="C1209" i="2"/>
  <c r="B1209" i="2"/>
  <c r="A1209" i="2"/>
  <c r="C1208" i="2"/>
  <c r="B1208" i="2"/>
  <c r="A1208" i="2"/>
  <c r="C1207" i="2"/>
  <c r="B1207" i="2"/>
  <c r="A1207" i="2"/>
  <c r="C1206" i="2"/>
  <c r="B1206" i="2"/>
  <c r="A1206" i="2"/>
  <c r="C1205" i="2"/>
  <c r="B1205" i="2"/>
  <c r="A1205" i="2"/>
  <c r="C1204" i="2"/>
  <c r="B1204" i="2"/>
  <c r="A1204" i="2"/>
  <c r="C1203" i="2"/>
  <c r="B1203" i="2"/>
  <c r="A1203" i="2"/>
  <c r="C1202" i="2"/>
  <c r="B1202" i="2"/>
  <c r="A1202" i="2"/>
  <c r="C1201" i="2"/>
  <c r="B1201" i="2"/>
  <c r="A1201" i="2"/>
  <c r="C1200" i="2"/>
  <c r="B1200" i="2"/>
  <c r="A1200" i="2"/>
  <c r="C1199" i="2"/>
  <c r="B1199" i="2"/>
  <c r="A1199" i="2"/>
  <c r="C1198" i="2"/>
  <c r="B1198" i="2"/>
  <c r="A1198" i="2"/>
  <c r="C1197" i="2"/>
  <c r="B1197" i="2"/>
  <c r="A1197" i="2"/>
  <c r="C1196" i="2"/>
  <c r="B1196" i="2"/>
  <c r="A1196" i="2"/>
  <c r="C1195" i="2"/>
  <c r="B1195" i="2"/>
  <c r="A1195" i="2"/>
  <c r="C1194" i="2"/>
  <c r="B1194" i="2"/>
  <c r="A1194" i="2"/>
  <c r="C1193" i="2"/>
  <c r="B1193" i="2"/>
  <c r="A1193" i="2"/>
  <c r="C1192" i="2"/>
  <c r="B1192" i="2"/>
  <c r="A1192" i="2"/>
  <c r="C1191" i="2"/>
  <c r="B1191" i="2"/>
  <c r="A1191" i="2"/>
  <c r="C1190" i="2"/>
  <c r="B1190" i="2"/>
  <c r="A1190" i="2"/>
  <c r="C1189" i="2"/>
  <c r="B1189" i="2"/>
  <c r="A1189" i="2"/>
  <c r="C1188" i="2"/>
  <c r="B1188" i="2"/>
  <c r="A1188" i="2"/>
  <c r="C1187" i="2"/>
  <c r="B1187" i="2"/>
  <c r="A1187" i="2"/>
  <c r="C1186" i="2"/>
  <c r="B1186" i="2"/>
  <c r="A1186" i="2"/>
  <c r="C1185" i="2"/>
  <c r="B1185" i="2"/>
  <c r="A1185" i="2"/>
  <c r="C1184" i="2"/>
  <c r="B1184" i="2"/>
  <c r="A1184" i="2"/>
  <c r="C1183" i="2"/>
  <c r="B1183" i="2"/>
  <c r="A1183" i="2"/>
  <c r="C1182" i="2"/>
  <c r="B1182" i="2"/>
  <c r="A1182" i="2"/>
  <c r="C1181" i="2"/>
  <c r="B1181" i="2"/>
  <c r="A1181" i="2"/>
  <c r="C1180" i="2"/>
  <c r="B1180" i="2"/>
  <c r="A1180" i="2"/>
  <c r="C1179" i="2"/>
  <c r="B1179" i="2"/>
  <c r="A1179" i="2"/>
  <c r="C1178" i="2"/>
  <c r="B1178" i="2"/>
  <c r="A1178" i="2"/>
  <c r="C1177" i="2"/>
  <c r="B1177" i="2"/>
  <c r="A1177" i="2"/>
  <c r="C1176" i="2"/>
  <c r="B1176" i="2"/>
  <c r="A1176" i="2"/>
  <c r="C1175" i="2"/>
  <c r="B1175" i="2"/>
  <c r="A1175" i="2"/>
  <c r="C1174" i="2"/>
  <c r="B1174" i="2"/>
  <c r="A1174" i="2"/>
  <c r="C1173" i="2"/>
  <c r="B1173" i="2"/>
  <c r="A1173" i="2"/>
  <c r="C1172" i="2"/>
  <c r="B1172" i="2"/>
  <c r="A1172" i="2"/>
  <c r="C1171" i="2"/>
  <c r="B1171" i="2"/>
  <c r="A1171" i="2"/>
  <c r="C1170" i="2"/>
  <c r="B1170" i="2"/>
  <c r="A1170" i="2"/>
  <c r="C1169" i="2"/>
  <c r="B1169" i="2"/>
  <c r="A1169" i="2"/>
  <c r="C1168" i="2"/>
  <c r="B1168" i="2"/>
  <c r="A1168" i="2"/>
  <c r="C1167" i="2"/>
  <c r="B1167" i="2"/>
  <c r="A1167" i="2"/>
  <c r="C1166" i="2"/>
  <c r="B1166" i="2"/>
  <c r="A1166" i="2"/>
  <c r="C1165" i="2"/>
  <c r="B1165" i="2"/>
  <c r="A1165" i="2"/>
  <c r="C1164" i="2"/>
  <c r="B1164" i="2"/>
  <c r="A1164" i="2"/>
  <c r="C1163" i="2"/>
  <c r="B1163" i="2"/>
  <c r="A1163" i="2"/>
  <c r="C1162" i="2"/>
  <c r="B1162" i="2"/>
  <c r="A1162" i="2"/>
  <c r="C1161" i="2"/>
  <c r="B1161" i="2"/>
  <c r="A1161" i="2"/>
  <c r="C1160" i="2"/>
  <c r="B1160" i="2"/>
  <c r="A1160" i="2"/>
  <c r="C1159" i="2"/>
  <c r="B1159" i="2"/>
  <c r="A1159" i="2"/>
  <c r="C1158" i="2"/>
  <c r="B1158" i="2"/>
  <c r="A1158" i="2"/>
  <c r="C1157" i="2"/>
  <c r="B1157" i="2"/>
  <c r="A1157" i="2"/>
  <c r="C1156" i="2"/>
  <c r="B1156" i="2"/>
  <c r="A1156" i="2"/>
  <c r="C1155" i="2"/>
  <c r="B1155" i="2"/>
  <c r="A1155" i="2"/>
  <c r="C1154" i="2"/>
  <c r="B1154" i="2"/>
  <c r="A1154" i="2"/>
  <c r="C1153" i="2"/>
  <c r="B1153" i="2"/>
  <c r="A1153" i="2"/>
  <c r="C1152" i="2"/>
  <c r="B1152" i="2"/>
  <c r="A1152" i="2"/>
  <c r="C1151" i="2"/>
  <c r="B1151" i="2"/>
  <c r="A1151" i="2"/>
  <c r="C1150" i="2"/>
  <c r="B1150" i="2"/>
  <c r="A1150" i="2"/>
  <c r="C1149" i="2"/>
  <c r="B1149" i="2"/>
  <c r="A1149" i="2"/>
  <c r="C1148" i="2"/>
  <c r="B1148" i="2"/>
  <c r="A1148" i="2"/>
  <c r="C1147" i="2"/>
  <c r="B1147" i="2"/>
  <c r="A1147" i="2"/>
  <c r="C1146" i="2"/>
  <c r="B1146" i="2"/>
  <c r="A1146" i="2"/>
  <c r="C1145" i="2"/>
  <c r="B1145" i="2"/>
  <c r="A1145" i="2"/>
  <c r="C1144" i="2"/>
  <c r="B1144" i="2"/>
  <c r="A1144" i="2"/>
  <c r="C1143" i="2"/>
  <c r="B1143" i="2"/>
  <c r="A1143" i="2"/>
  <c r="C1142" i="2"/>
  <c r="B1142" i="2"/>
  <c r="A1142" i="2"/>
  <c r="C1141" i="2"/>
  <c r="B1141" i="2"/>
  <c r="A1141" i="2"/>
  <c r="C1140" i="2"/>
  <c r="B1140" i="2"/>
  <c r="A1140" i="2"/>
  <c r="C1139" i="2"/>
  <c r="B1139" i="2"/>
  <c r="A1139" i="2"/>
  <c r="C1138" i="2"/>
  <c r="B1138" i="2"/>
  <c r="A1138" i="2"/>
  <c r="C1137" i="2"/>
  <c r="B1137" i="2"/>
  <c r="A1137" i="2"/>
  <c r="C1136" i="2"/>
  <c r="B1136" i="2"/>
  <c r="A1136" i="2"/>
  <c r="C1135" i="2"/>
  <c r="B1135" i="2"/>
  <c r="A1135" i="2"/>
  <c r="C1134" i="2"/>
  <c r="B1134" i="2"/>
  <c r="A1134" i="2"/>
  <c r="C1133" i="2"/>
  <c r="B1133" i="2"/>
  <c r="A1133" i="2"/>
  <c r="C1132" i="2"/>
  <c r="B1132" i="2"/>
  <c r="A1132" i="2"/>
  <c r="C1131" i="2"/>
  <c r="B1131" i="2"/>
  <c r="A1131" i="2"/>
  <c r="C1130" i="2"/>
  <c r="B1130" i="2"/>
  <c r="A1130" i="2"/>
  <c r="C1129" i="2"/>
  <c r="B1129" i="2"/>
  <c r="A1129" i="2"/>
  <c r="C1128" i="2"/>
  <c r="B1128" i="2"/>
  <c r="A1128" i="2"/>
  <c r="C1127" i="2"/>
  <c r="B1127" i="2"/>
  <c r="A1127" i="2"/>
  <c r="C1126" i="2"/>
  <c r="B1126" i="2"/>
  <c r="A1126" i="2"/>
  <c r="C1125" i="2"/>
  <c r="B1125" i="2"/>
  <c r="A1125" i="2"/>
  <c r="C1124" i="2"/>
  <c r="B1124" i="2"/>
  <c r="A1124" i="2"/>
  <c r="C1123" i="2"/>
  <c r="B1123" i="2"/>
  <c r="A1123" i="2"/>
  <c r="C1122" i="2"/>
  <c r="B1122" i="2"/>
  <c r="A1122" i="2"/>
  <c r="C1121" i="2"/>
  <c r="B1121" i="2"/>
  <c r="A1121" i="2"/>
  <c r="C1120" i="2"/>
  <c r="B1120" i="2"/>
  <c r="A1120" i="2"/>
  <c r="C1119" i="2"/>
  <c r="B1119" i="2"/>
  <c r="A1119" i="2"/>
  <c r="C1118" i="2"/>
  <c r="B1118" i="2"/>
  <c r="A1118" i="2"/>
  <c r="C1117" i="2"/>
  <c r="B1117" i="2"/>
  <c r="A1117" i="2"/>
  <c r="C1116" i="2"/>
  <c r="B1116" i="2"/>
  <c r="A1116" i="2"/>
  <c r="C1115" i="2"/>
  <c r="B1115" i="2"/>
  <c r="A1115" i="2"/>
  <c r="C1114" i="2"/>
  <c r="B1114" i="2"/>
  <c r="A1114" i="2"/>
  <c r="C1113" i="2"/>
  <c r="B1113" i="2"/>
  <c r="A1113" i="2"/>
  <c r="C1112" i="2"/>
  <c r="B1112" i="2"/>
  <c r="A1112" i="2"/>
  <c r="C1111" i="2"/>
  <c r="B1111" i="2"/>
  <c r="A1111" i="2"/>
  <c r="C1110" i="2"/>
  <c r="B1110" i="2"/>
  <c r="A1110" i="2"/>
  <c r="C1109" i="2"/>
  <c r="B1109" i="2"/>
  <c r="A1109" i="2"/>
  <c r="C1108" i="2"/>
  <c r="B1108" i="2"/>
  <c r="A1108" i="2"/>
  <c r="C1107" i="2"/>
  <c r="B1107" i="2"/>
  <c r="A1107" i="2"/>
  <c r="C1106" i="2"/>
  <c r="B1106" i="2"/>
  <c r="A1106" i="2"/>
  <c r="C1105" i="2"/>
  <c r="B1105" i="2"/>
  <c r="A1105" i="2"/>
  <c r="C1104" i="2"/>
  <c r="B1104" i="2"/>
  <c r="A1104" i="2"/>
  <c r="C1103" i="2"/>
  <c r="B1103" i="2"/>
  <c r="A1103" i="2"/>
  <c r="C1102" i="2"/>
  <c r="B1102" i="2"/>
  <c r="A1102" i="2"/>
  <c r="C1101" i="2"/>
  <c r="B1101" i="2"/>
  <c r="A1101" i="2"/>
  <c r="C1100" i="2"/>
  <c r="B1100" i="2"/>
  <c r="A1100" i="2"/>
  <c r="C1099" i="2"/>
  <c r="B1099" i="2"/>
  <c r="A1099" i="2"/>
  <c r="C1098" i="2"/>
  <c r="B1098" i="2"/>
  <c r="A1098" i="2"/>
  <c r="C1097" i="2"/>
  <c r="B1097" i="2"/>
  <c r="A1097" i="2"/>
  <c r="C1096" i="2"/>
  <c r="B1096" i="2"/>
  <c r="A1096" i="2"/>
  <c r="C1095" i="2"/>
  <c r="B1095" i="2"/>
  <c r="A1095" i="2"/>
  <c r="C1094" i="2"/>
  <c r="B1094" i="2"/>
  <c r="A1094" i="2"/>
  <c r="C1093" i="2"/>
  <c r="B1093" i="2"/>
  <c r="A1093" i="2"/>
  <c r="C1092" i="2"/>
  <c r="B1092" i="2"/>
  <c r="A1092" i="2"/>
  <c r="C1091" i="2"/>
  <c r="B1091" i="2"/>
  <c r="A1091" i="2"/>
  <c r="C1090" i="2"/>
  <c r="B1090" i="2"/>
  <c r="A1090" i="2"/>
  <c r="C1089" i="2"/>
  <c r="B1089" i="2"/>
  <c r="A1089" i="2"/>
  <c r="C1088" i="2"/>
  <c r="B1088" i="2"/>
  <c r="A1088" i="2"/>
  <c r="C1087" i="2"/>
  <c r="B1087" i="2"/>
  <c r="A1087" i="2"/>
  <c r="C1086" i="2"/>
  <c r="B1086" i="2"/>
  <c r="A1086" i="2"/>
  <c r="C1085" i="2"/>
  <c r="B1085" i="2"/>
  <c r="A1085" i="2"/>
  <c r="C1084" i="2"/>
  <c r="B1084" i="2"/>
  <c r="A1084" i="2"/>
  <c r="C1083" i="2"/>
  <c r="B1083" i="2"/>
  <c r="A1083" i="2"/>
  <c r="C1082" i="2"/>
  <c r="B1082" i="2"/>
  <c r="A1082" i="2"/>
  <c r="C1081" i="2"/>
  <c r="B1081" i="2"/>
  <c r="A1081" i="2"/>
  <c r="C1080" i="2"/>
  <c r="B1080" i="2"/>
  <c r="A1080" i="2"/>
  <c r="C1079" i="2"/>
  <c r="B1079" i="2"/>
  <c r="A1079" i="2"/>
  <c r="C1078" i="2"/>
  <c r="B1078" i="2"/>
  <c r="A1078" i="2"/>
  <c r="C1077" i="2"/>
  <c r="B1077" i="2"/>
  <c r="A1077" i="2"/>
  <c r="C1076" i="2"/>
  <c r="B1076" i="2"/>
  <c r="A1076" i="2"/>
  <c r="C1075" i="2"/>
  <c r="B1075" i="2"/>
  <c r="A1075" i="2"/>
  <c r="C1074" i="2"/>
  <c r="B1074" i="2"/>
  <c r="A1074" i="2"/>
  <c r="C1073" i="2"/>
  <c r="B1073" i="2"/>
  <c r="A1073" i="2"/>
  <c r="C1072" i="2"/>
  <c r="B1072" i="2"/>
  <c r="A1072" i="2"/>
  <c r="C1071" i="2"/>
  <c r="B1071" i="2"/>
  <c r="A1071" i="2"/>
  <c r="C1070" i="2"/>
  <c r="B1070" i="2"/>
  <c r="A1070" i="2"/>
  <c r="C1069" i="2"/>
  <c r="B1069" i="2"/>
  <c r="A1069" i="2"/>
  <c r="C1068" i="2"/>
  <c r="B1068" i="2"/>
  <c r="A1068" i="2"/>
  <c r="C1067" i="2"/>
  <c r="B1067" i="2"/>
  <c r="A1067" i="2"/>
  <c r="C1066" i="2"/>
  <c r="B1066" i="2"/>
  <c r="A1066" i="2"/>
  <c r="C1065" i="2"/>
  <c r="B1065" i="2"/>
  <c r="A1065" i="2"/>
  <c r="C1064" i="2"/>
  <c r="B1064" i="2"/>
  <c r="A1064" i="2"/>
  <c r="C1063" i="2"/>
  <c r="B1063" i="2"/>
  <c r="A1063" i="2"/>
  <c r="C1062" i="2"/>
  <c r="B1062" i="2"/>
  <c r="A1062" i="2"/>
  <c r="C1061" i="2"/>
  <c r="B1061" i="2"/>
  <c r="A1061" i="2"/>
  <c r="C1060" i="2"/>
  <c r="B1060" i="2"/>
  <c r="A1060" i="2"/>
  <c r="C1059" i="2"/>
  <c r="B1059" i="2"/>
  <c r="A1059" i="2"/>
  <c r="C1058" i="2"/>
  <c r="B1058" i="2"/>
  <c r="A1058" i="2"/>
  <c r="C1057" i="2"/>
  <c r="B1057" i="2"/>
  <c r="A1057" i="2"/>
  <c r="C1056" i="2"/>
  <c r="B1056" i="2"/>
  <c r="A1056" i="2"/>
  <c r="C1055" i="2"/>
  <c r="B1055" i="2"/>
  <c r="A1055" i="2"/>
  <c r="C1054" i="2"/>
  <c r="B1054" i="2"/>
  <c r="A1054" i="2"/>
  <c r="C1053" i="2"/>
  <c r="B1053" i="2"/>
  <c r="A1053" i="2"/>
  <c r="C1052" i="2"/>
  <c r="B1052" i="2"/>
  <c r="A1052" i="2"/>
  <c r="C1051" i="2"/>
  <c r="B1051" i="2"/>
  <c r="A1051" i="2"/>
  <c r="C1050" i="2"/>
  <c r="B1050" i="2"/>
  <c r="A1050" i="2"/>
  <c r="C1049" i="2"/>
  <c r="B1049" i="2"/>
  <c r="A1049" i="2"/>
  <c r="C1048" i="2"/>
  <c r="B1048" i="2"/>
  <c r="A1048" i="2"/>
  <c r="C1047" i="2"/>
  <c r="B1047" i="2"/>
  <c r="A1047" i="2"/>
  <c r="C1046" i="2"/>
  <c r="B1046" i="2"/>
  <c r="A1046" i="2"/>
  <c r="C1045" i="2"/>
  <c r="B1045" i="2"/>
  <c r="A1045" i="2"/>
  <c r="C1044" i="2"/>
  <c r="B1044" i="2"/>
  <c r="A1044" i="2"/>
  <c r="C1043" i="2"/>
  <c r="B1043" i="2"/>
  <c r="A1043" i="2"/>
  <c r="C1042" i="2"/>
  <c r="B1042" i="2"/>
  <c r="A1042" i="2"/>
  <c r="C1041" i="2"/>
  <c r="B1041" i="2"/>
  <c r="A1041" i="2"/>
  <c r="C1040" i="2"/>
  <c r="B1040" i="2"/>
  <c r="A1040" i="2"/>
  <c r="C1039" i="2"/>
  <c r="B1039" i="2"/>
  <c r="A1039" i="2"/>
  <c r="C1038" i="2"/>
  <c r="B1038" i="2"/>
  <c r="A1038" i="2"/>
  <c r="C1037" i="2"/>
  <c r="B1037" i="2"/>
  <c r="A1037" i="2"/>
  <c r="C1036" i="2"/>
  <c r="B1036" i="2"/>
  <c r="A1036" i="2"/>
  <c r="C1035" i="2"/>
  <c r="B1035" i="2"/>
  <c r="A1035" i="2"/>
  <c r="C1034" i="2"/>
  <c r="B1034" i="2"/>
  <c r="A1034" i="2"/>
  <c r="C1033" i="2"/>
  <c r="B1033" i="2"/>
  <c r="A1033" i="2"/>
  <c r="C1032" i="2"/>
  <c r="B1032" i="2"/>
  <c r="A1032" i="2"/>
  <c r="C1031" i="2"/>
  <c r="B1031" i="2"/>
  <c r="A1031" i="2"/>
  <c r="C1030" i="2"/>
  <c r="B1030" i="2"/>
  <c r="A1030" i="2"/>
  <c r="C1029" i="2"/>
  <c r="B1029" i="2"/>
  <c r="A1029" i="2"/>
  <c r="C1028" i="2"/>
  <c r="B1028" i="2"/>
  <c r="A1028" i="2"/>
  <c r="C1027" i="2"/>
  <c r="B1027" i="2"/>
  <c r="A1027" i="2"/>
  <c r="C1026" i="2"/>
  <c r="B1026" i="2"/>
  <c r="A1026" i="2"/>
  <c r="C1025" i="2"/>
  <c r="B1025" i="2"/>
  <c r="A1025" i="2"/>
  <c r="C1024" i="2"/>
  <c r="B1024" i="2"/>
  <c r="A1024" i="2"/>
  <c r="C1023" i="2"/>
  <c r="B1023" i="2"/>
  <c r="A1023" i="2"/>
  <c r="C1022" i="2"/>
  <c r="B1022" i="2"/>
  <c r="A1022" i="2"/>
  <c r="C1021" i="2"/>
  <c r="B1021" i="2"/>
  <c r="A1021" i="2"/>
  <c r="C1020" i="2"/>
  <c r="B1020" i="2"/>
  <c r="A1020" i="2"/>
  <c r="C1019" i="2"/>
  <c r="B1019" i="2"/>
  <c r="A1019" i="2"/>
  <c r="C1018" i="2"/>
  <c r="B1018" i="2"/>
  <c r="A1018" i="2"/>
  <c r="C1017" i="2"/>
  <c r="B1017" i="2"/>
  <c r="A1017" i="2"/>
  <c r="C1016" i="2"/>
  <c r="B1016" i="2"/>
  <c r="A1016" i="2"/>
  <c r="C1015" i="2"/>
  <c r="B1015" i="2"/>
  <c r="A1015" i="2"/>
  <c r="C1014" i="2"/>
  <c r="B1014" i="2"/>
  <c r="A1014" i="2"/>
  <c r="C1013" i="2"/>
  <c r="B1013" i="2"/>
  <c r="A1013" i="2"/>
  <c r="C1012" i="2"/>
  <c r="B1012" i="2"/>
  <c r="A1012" i="2"/>
  <c r="C1011" i="2"/>
  <c r="B1011" i="2"/>
  <c r="A1011" i="2"/>
  <c r="C1010" i="2"/>
  <c r="B1010" i="2"/>
  <c r="A1010" i="2"/>
  <c r="C1009" i="2"/>
  <c r="B1009" i="2"/>
  <c r="A1009" i="2"/>
  <c r="C1008" i="2"/>
  <c r="B1008" i="2"/>
  <c r="A1008" i="2"/>
  <c r="C1007" i="2"/>
  <c r="B1007" i="2"/>
  <c r="A1007" i="2"/>
  <c r="C1006" i="2"/>
  <c r="B1006" i="2"/>
  <c r="A1006" i="2"/>
  <c r="C1005" i="2"/>
  <c r="B1005" i="2"/>
  <c r="A1005" i="2"/>
  <c r="C1004" i="2"/>
  <c r="B1004" i="2"/>
  <c r="A1004" i="2"/>
  <c r="C1003" i="2"/>
  <c r="B1003" i="2"/>
  <c r="A1003" i="2"/>
  <c r="C1002" i="2"/>
  <c r="B1002" i="2"/>
  <c r="A1002" i="2"/>
  <c r="C1001" i="2"/>
  <c r="B1001" i="2"/>
  <c r="A1001" i="2"/>
  <c r="C1000" i="2"/>
  <c r="B1000" i="2"/>
  <c r="A1000" i="2"/>
  <c r="C999" i="2"/>
  <c r="B999" i="2"/>
  <c r="A999" i="2"/>
  <c r="C998" i="2"/>
  <c r="B998" i="2"/>
  <c r="A998" i="2"/>
  <c r="C997" i="2"/>
  <c r="B997" i="2"/>
  <c r="A997" i="2"/>
  <c r="C996" i="2"/>
  <c r="B996" i="2"/>
  <c r="A996" i="2"/>
  <c r="C995" i="2"/>
  <c r="B995" i="2"/>
  <c r="A995" i="2"/>
  <c r="C994" i="2"/>
  <c r="B994" i="2"/>
  <c r="A994" i="2"/>
  <c r="C993" i="2"/>
  <c r="B993" i="2"/>
  <c r="A993" i="2"/>
  <c r="C992" i="2"/>
  <c r="B992" i="2"/>
  <c r="A992" i="2"/>
  <c r="C991" i="2"/>
  <c r="B991" i="2"/>
  <c r="A991" i="2"/>
  <c r="C990" i="2"/>
  <c r="B990" i="2"/>
  <c r="A990" i="2"/>
  <c r="C989" i="2"/>
  <c r="B989" i="2"/>
  <c r="A989" i="2"/>
  <c r="C988" i="2"/>
  <c r="B988" i="2"/>
  <c r="A988" i="2"/>
  <c r="C987" i="2"/>
  <c r="B987" i="2"/>
  <c r="A987" i="2"/>
  <c r="C986" i="2"/>
  <c r="B986" i="2"/>
  <c r="A986" i="2"/>
  <c r="C985" i="2"/>
  <c r="B985" i="2"/>
  <c r="A985" i="2"/>
  <c r="C984" i="2"/>
  <c r="B984" i="2"/>
  <c r="A984" i="2"/>
  <c r="C983" i="2"/>
  <c r="B983" i="2"/>
  <c r="A983" i="2"/>
  <c r="C982" i="2"/>
  <c r="B982" i="2"/>
  <c r="A982" i="2"/>
  <c r="C981" i="2"/>
  <c r="B981" i="2"/>
  <c r="A981" i="2"/>
  <c r="C980" i="2"/>
  <c r="B980" i="2"/>
  <c r="A980" i="2"/>
  <c r="C979" i="2"/>
  <c r="B979" i="2"/>
  <c r="A979" i="2"/>
  <c r="C978" i="2"/>
  <c r="B978" i="2"/>
  <c r="A978" i="2"/>
  <c r="C977" i="2"/>
  <c r="B977" i="2"/>
  <c r="A977" i="2"/>
  <c r="C976" i="2"/>
  <c r="B976" i="2"/>
  <c r="A976" i="2"/>
  <c r="C975" i="2"/>
  <c r="B975" i="2"/>
  <c r="A975" i="2"/>
  <c r="C974" i="2"/>
  <c r="B974" i="2"/>
  <c r="A974" i="2"/>
  <c r="C973" i="2"/>
  <c r="B973" i="2"/>
  <c r="A973" i="2"/>
  <c r="C972" i="2"/>
  <c r="B972" i="2"/>
  <c r="A972" i="2"/>
  <c r="C971" i="2"/>
  <c r="B971" i="2"/>
  <c r="A971" i="2"/>
  <c r="C970" i="2"/>
  <c r="B970" i="2"/>
  <c r="A970" i="2"/>
  <c r="C969" i="2"/>
  <c r="B969" i="2"/>
  <c r="A969" i="2"/>
  <c r="C968" i="2"/>
  <c r="B968" i="2"/>
  <c r="A968" i="2"/>
  <c r="C967" i="2"/>
  <c r="B967" i="2"/>
  <c r="A967" i="2"/>
  <c r="C966" i="2"/>
  <c r="B966" i="2"/>
  <c r="A966" i="2"/>
  <c r="C965" i="2"/>
  <c r="B965" i="2"/>
  <c r="A965" i="2"/>
  <c r="C964" i="2"/>
  <c r="B964" i="2"/>
  <c r="A964" i="2"/>
  <c r="C963" i="2"/>
  <c r="B963" i="2"/>
  <c r="A963" i="2"/>
  <c r="C962" i="2"/>
  <c r="B962" i="2"/>
  <c r="A962" i="2"/>
  <c r="C961" i="2"/>
  <c r="B961" i="2"/>
  <c r="A961" i="2"/>
  <c r="C960" i="2"/>
  <c r="B960" i="2"/>
  <c r="A960" i="2"/>
  <c r="C959" i="2"/>
  <c r="B959" i="2"/>
  <c r="A959" i="2"/>
  <c r="C958" i="2"/>
  <c r="B958" i="2"/>
  <c r="A958" i="2"/>
  <c r="C957" i="2"/>
  <c r="B957" i="2"/>
  <c r="A957" i="2"/>
  <c r="C956" i="2"/>
  <c r="B956" i="2"/>
  <c r="A956" i="2"/>
  <c r="C955" i="2"/>
  <c r="B955" i="2"/>
  <c r="A955" i="2"/>
  <c r="C954" i="2"/>
  <c r="B954" i="2"/>
  <c r="A954" i="2"/>
  <c r="C953" i="2"/>
  <c r="B953" i="2"/>
  <c r="A953" i="2"/>
  <c r="C952" i="2"/>
  <c r="B952" i="2"/>
  <c r="A952" i="2"/>
  <c r="C951" i="2"/>
  <c r="B951" i="2"/>
  <c r="A951" i="2"/>
  <c r="C950" i="2"/>
  <c r="B950" i="2"/>
  <c r="A950" i="2"/>
  <c r="C949" i="2"/>
  <c r="B949" i="2"/>
  <c r="A949" i="2"/>
  <c r="C948" i="2"/>
  <c r="B948" i="2"/>
  <c r="A948" i="2"/>
  <c r="C947" i="2"/>
  <c r="B947" i="2"/>
  <c r="A947" i="2"/>
  <c r="C946" i="2"/>
  <c r="B946" i="2"/>
  <c r="A946" i="2"/>
  <c r="C945" i="2"/>
  <c r="B945" i="2"/>
  <c r="A945" i="2"/>
  <c r="C944" i="2"/>
  <c r="B944" i="2"/>
  <c r="A944" i="2"/>
  <c r="C943" i="2"/>
  <c r="B943" i="2"/>
  <c r="A943" i="2"/>
  <c r="C942" i="2"/>
  <c r="B942" i="2"/>
  <c r="A942" i="2"/>
  <c r="C941" i="2"/>
  <c r="B941" i="2"/>
  <c r="A941" i="2"/>
  <c r="C940" i="2"/>
  <c r="B940" i="2"/>
  <c r="A940" i="2"/>
  <c r="C939" i="2"/>
  <c r="B939" i="2"/>
  <c r="A939" i="2"/>
  <c r="C938" i="2"/>
  <c r="B938" i="2"/>
  <c r="A938" i="2"/>
  <c r="C937" i="2"/>
  <c r="B937" i="2"/>
  <c r="A937" i="2"/>
  <c r="C936" i="2"/>
  <c r="B936" i="2"/>
  <c r="A936" i="2"/>
  <c r="C935" i="2"/>
  <c r="B935" i="2"/>
  <c r="A935" i="2"/>
  <c r="C934" i="2"/>
  <c r="B934" i="2"/>
  <c r="A934" i="2"/>
  <c r="C933" i="2"/>
  <c r="B933" i="2"/>
  <c r="A933" i="2"/>
  <c r="C932" i="2"/>
  <c r="B932" i="2"/>
  <c r="A932" i="2"/>
  <c r="C931" i="2"/>
  <c r="B931" i="2"/>
  <c r="A931" i="2"/>
  <c r="C930" i="2"/>
  <c r="B930" i="2"/>
  <c r="A930" i="2"/>
  <c r="C929" i="2"/>
  <c r="B929" i="2"/>
  <c r="A929" i="2"/>
  <c r="C928" i="2"/>
  <c r="B928" i="2"/>
  <c r="A928" i="2"/>
  <c r="C927" i="2"/>
  <c r="B927" i="2"/>
  <c r="A927" i="2"/>
  <c r="C926" i="2"/>
  <c r="B926" i="2"/>
  <c r="A926" i="2"/>
  <c r="C925" i="2"/>
  <c r="B925" i="2"/>
  <c r="A925" i="2"/>
  <c r="C924" i="2"/>
  <c r="B924" i="2"/>
  <c r="A924" i="2"/>
  <c r="C923" i="2"/>
  <c r="B923" i="2"/>
  <c r="A923" i="2"/>
  <c r="C922" i="2"/>
  <c r="B922" i="2"/>
  <c r="A922" i="2"/>
  <c r="C921" i="2"/>
  <c r="B921" i="2"/>
  <c r="A921" i="2"/>
  <c r="C920" i="2"/>
  <c r="B920" i="2"/>
  <c r="A920" i="2"/>
  <c r="C919" i="2"/>
  <c r="B919" i="2"/>
  <c r="A919" i="2"/>
  <c r="C918" i="2"/>
  <c r="B918" i="2"/>
  <c r="A918" i="2"/>
  <c r="C917" i="2"/>
  <c r="B917" i="2"/>
  <c r="A917" i="2"/>
  <c r="C916" i="2"/>
  <c r="B916" i="2"/>
  <c r="A916" i="2"/>
  <c r="C915" i="2"/>
  <c r="B915" i="2"/>
  <c r="A915" i="2"/>
  <c r="C914" i="2"/>
  <c r="B914" i="2"/>
  <c r="A914" i="2"/>
  <c r="C913" i="2"/>
  <c r="B913" i="2"/>
  <c r="A913" i="2"/>
  <c r="C912" i="2"/>
  <c r="B912" i="2"/>
  <c r="A912" i="2"/>
  <c r="C911" i="2"/>
  <c r="B911" i="2"/>
  <c r="A911" i="2"/>
  <c r="C910" i="2"/>
  <c r="A910" i="2"/>
  <c r="C909" i="2"/>
  <c r="A909" i="2"/>
  <c r="C908" i="2"/>
  <c r="B908" i="2"/>
  <c r="A908" i="2"/>
  <c r="C907" i="2"/>
  <c r="B907" i="2"/>
  <c r="A907" i="2"/>
  <c r="C906" i="2"/>
  <c r="B906" i="2"/>
  <c r="A906" i="2"/>
  <c r="C905" i="2"/>
  <c r="B905" i="2"/>
  <c r="A905" i="2"/>
  <c r="C904" i="2"/>
  <c r="B904" i="2"/>
  <c r="A904" i="2"/>
  <c r="C903" i="2"/>
  <c r="B903" i="2"/>
  <c r="A903" i="2"/>
  <c r="C902" i="2"/>
  <c r="B902" i="2"/>
  <c r="A902" i="2"/>
  <c r="C901" i="2"/>
  <c r="B901" i="2"/>
  <c r="A901" i="2"/>
  <c r="C900" i="2"/>
  <c r="B900" i="2"/>
  <c r="A900" i="2"/>
  <c r="C899" i="2"/>
  <c r="B899" i="2"/>
  <c r="A899" i="2"/>
  <c r="C898" i="2"/>
  <c r="B898" i="2"/>
  <c r="A898" i="2"/>
  <c r="C897" i="2"/>
  <c r="B897" i="2"/>
  <c r="A897" i="2"/>
  <c r="C896" i="2"/>
  <c r="B896" i="2"/>
  <c r="A896" i="2"/>
  <c r="C895" i="2"/>
  <c r="B895" i="2"/>
  <c r="A895" i="2"/>
  <c r="C894" i="2"/>
  <c r="B894" i="2"/>
  <c r="A894" i="2"/>
  <c r="C893" i="2"/>
  <c r="B893" i="2"/>
  <c r="A893" i="2"/>
  <c r="C892" i="2"/>
  <c r="B892" i="2"/>
  <c r="A892" i="2"/>
  <c r="C891" i="2"/>
  <c r="B891" i="2"/>
  <c r="A891" i="2"/>
  <c r="C890" i="2"/>
  <c r="B890" i="2"/>
  <c r="A890" i="2"/>
  <c r="C889" i="2"/>
  <c r="B889" i="2"/>
  <c r="A889" i="2"/>
  <c r="C888" i="2"/>
  <c r="B888" i="2"/>
  <c r="A888" i="2"/>
  <c r="C887" i="2"/>
  <c r="B887" i="2"/>
  <c r="A887" i="2"/>
  <c r="C886" i="2"/>
  <c r="B886" i="2"/>
  <c r="A886" i="2"/>
  <c r="C885" i="2"/>
  <c r="B885" i="2"/>
  <c r="A885" i="2"/>
  <c r="C884" i="2"/>
  <c r="B884" i="2"/>
  <c r="A884" i="2"/>
  <c r="C883" i="2"/>
  <c r="B883" i="2"/>
  <c r="A883" i="2"/>
  <c r="C882" i="2"/>
  <c r="B882" i="2"/>
  <c r="A882" i="2"/>
  <c r="C881" i="2"/>
  <c r="B881" i="2"/>
  <c r="A881" i="2"/>
  <c r="C880" i="2"/>
  <c r="B880" i="2"/>
  <c r="A880" i="2"/>
  <c r="C879" i="2"/>
  <c r="B879" i="2"/>
  <c r="A879" i="2"/>
  <c r="C878" i="2"/>
  <c r="B878" i="2"/>
  <c r="A878" i="2"/>
  <c r="C877" i="2"/>
  <c r="B877" i="2"/>
  <c r="A877" i="2"/>
  <c r="C876" i="2"/>
  <c r="B876" i="2"/>
  <c r="A876" i="2"/>
  <c r="C875" i="2"/>
  <c r="B875" i="2"/>
  <c r="A875" i="2"/>
  <c r="C874" i="2"/>
  <c r="B874" i="2"/>
  <c r="A874" i="2"/>
  <c r="C873" i="2"/>
  <c r="B873" i="2"/>
  <c r="A873" i="2"/>
  <c r="C872" i="2"/>
  <c r="B872" i="2"/>
  <c r="A872" i="2"/>
  <c r="C871" i="2"/>
  <c r="B871" i="2"/>
  <c r="A871" i="2"/>
  <c r="C870" i="2"/>
  <c r="B870" i="2"/>
  <c r="A870" i="2"/>
  <c r="C869" i="2"/>
  <c r="B869" i="2"/>
  <c r="A869" i="2"/>
  <c r="C868" i="2"/>
  <c r="B868" i="2"/>
  <c r="A868" i="2"/>
  <c r="C867" i="2"/>
  <c r="B867" i="2"/>
  <c r="A867" i="2"/>
  <c r="C866" i="2"/>
  <c r="B866" i="2"/>
  <c r="A866" i="2"/>
  <c r="C865" i="2"/>
  <c r="B865" i="2"/>
  <c r="A865" i="2"/>
  <c r="C864" i="2"/>
  <c r="B864" i="2"/>
  <c r="A864" i="2"/>
  <c r="C863" i="2"/>
  <c r="B863" i="2"/>
  <c r="A863" i="2"/>
  <c r="C862" i="2"/>
  <c r="B862" i="2"/>
  <c r="A862" i="2"/>
  <c r="C861" i="2"/>
  <c r="B861" i="2"/>
  <c r="A861" i="2"/>
  <c r="C860" i="2"/>
  <c r="B860" i="2"/>
  <c r="A860" i="2"/>
  <c r="C859" i="2"/>
  <c r="B859" i="2"/>
  <c r="A859" i="2"/>
  <c r="C858" i="2"/>
  <c r="B858" i="2"/>
  <c r="A858" i="2"/>
  <c r="C857" i="2"/>
  <c r="B857" i="2"/>
  <c r="A857" i="2"/>
  <c r="C856" i="2"/>
  <c r="B856" i="2"/>
  <c r="A856" i="2"/>
  <c r="C855" i="2"/>
  <c r="B855" i="2"/>
  <c r="A855" i="2"/>
  <c r="C854" i="2"/>
  <c r="B854" i="2"/>
  <c r="A854" i="2"/>
  <c r="C853" i="2"/>
  <c r="B853" i="2"/>
  <c r="A853" i="2"/>
  <c r="C852" i="2"/>
  <c r="B852" i="2"/>
  <c r="A852" i="2"/>
  <c r="C851" i="2"/>
  <c r="B851" i="2"/>
  <c r="A851" i="2"/>
  <c r="C850" i="2"/>
  <c r="B850" i="2"/>
  <c r="A850" i="2"/>
  <c r="C849" i="2"/>
  <c r="B849" i="2"/>
  <c r="A849" i="2"/>
  <c r="C848" i="2"/>
  <c r="B848" i="2"/>
  <c r="A848" i="2"/>
  <c r="C847" i="2"/>
  <c r="B847" i="2"/>
  <c r="A847" i="2"/>
  <c r="C846" i="2"/>
  <c r="B846" i="2"/>
  <c r="A846" i="2"/>
  <c r="C845" i="2"/>
  <c r="B845" i="2"/>
  <c r="A845" i="2"/>
  <c r="C844" i="2"/>
  <c r="B844" i="2"/>
  <c r="A844" i="2"/>
  <c r="C843" i="2"/>
  <c r="B843" i="2"/>
  <c r="A843" i="2"/>
  <c r="C842" i="2"/>
  <c r="B842" i="2"/>
  <c r="A842" i="2"/>
  <c r="C841" i="2"/>
  <c r="B841" i="2"/>
  <c r="A841" i="2"/>
  <c r="C840" i="2"/>
  <c r="B840" i="2"/>
  <c r="A840" i="2"/>
  <c r="C839" i="2"/>
  <c r="B839" i="2"/>
  <c r="A839" i="2"/>
  <c r="C838" i="2"/>
  <c r="B838" i="2"/>
  <c r="A838" i="2"/>
  <c r="C837" i="2"/>
  <c r="B837" i="2"/>
  <c r="A837" i="2"/>
  <c r="C836" i="2"/>
  <c r="B836" i="2"/>
  <c r="A836" i="2"/>
  <c r="C835" i="2"/>
  <c r="B835" i="2"/>
  <c r="A835" i="2"/>
  <c r="C834" i="2"/>
  <c r="B834" i="2"/>
  <c r="A834" i="2"/>
  <c r="C833" i="2"/>
  <c r="B833" i="2"/>
  <c r="A833" i="2"/>
  <c r="C832" i="2"/>
  <c r="B832" i="2"/>
  <c r="A832" i="2"/>
  <c r="C831" i="2"/>
  <c r="B831" i="2"/>
  <c r="A831" i="2"/>
  <c r="C830" i="2"/>
  <c r="B830" i="2"/>
  <c r="A830" i="2"/>
  <c r="C829" i="2"/>
  <c r="B829" i="2"/>
  <c r="A829" i="2"/>
  <c r="C828" i="2"/>
  <c r="B828" i="2"/>
  <c r="A828" i="2"/>
  <c r="C827" i="2"/>
  <c r="B827" i="2"/>
  <c r="A827" i="2"/>
  <c r="C826" i="2"/>
  <c r="B826" i="2"/>
  <c r="A826" i="2"/>
  <c r="C825" i="2"/>
  <c r="B825" i="2"/>
  <c r="A825" i="2"/>
  <c r="C824" i="2"/>
  <c r="B824" i="2"/>
  <c r="A824" i="2"/>
  <c r="C823" i="2"/>
  <c r="B823" i="2"/>
  <c r="A823" i="2"/>
  <c r="C822" i="2"/>
  <c r="B822" i="2"/>
  <c r="A822" i="2"/>
  <c r="C821" i="2"/>
  <c r="B821" i="2"/>
  <c r="A821" i="2"/>
  <c r="C820" i="2"/>
  <c r="B820" i="2"/>
  <c r="A820" i="2"/>
  <c r="C819" i="2"/>
  <c r="B819" i="2"/>
  <c r="A819" i="2"/>
  <c r="C818" i="2"/>
  <c r="B818" i="2"/>
  <c r="A818" i="2"/>
  <c r="C817" i="2"/>
  <c r="B817" i="2"/>
  <c r="A817" i="2"/>
  <c r="C816" i="2"/>
  <c r="B816" i="2"/>
  <c r="A816" i="2"/>
  <c r="C815" i="2"/>
  <c r="B815" i="2"/>
  <c r="A815" i="2"/>
  <c r="C814" i="2"/>
  <c r="B814" i="2"/>
  <c r="A814" i="2"/>
  <c r="C813" i="2"/>
  <c r="B813" i="2"/>
  <c r="A813" i="2"/>
  <c r="C812" i="2"/>
  <c r="B812" i="2"/>
  <c r="A812" i="2"/>
  <c r="C811" i="2"/>
  <c r="B811" i="2"/>
  <c r="A811" i="2"/>
  <c r="C810" i="2"/>
  <c r="B810" i="2"/>
  <c r="A810" i="2"/>
  <c r="C809" i="2"/>
  <c r="B809" i="2"/>
  <c r="A809" i="2"/>
  <c r="C808" i="2"/>
  <c r="B808" i="2"/>
  <c r="A808" i="2"/>
  <c r="C807" i="2"/>
  <c r="B807" i="2"/>
  <c r="A807" i="2"/>
  <c r="C806" i="2"/>
  <c r="B806" i="2"/>
  <c r="A806" i="2"/>
  <c r="C805" i="2"/>
  <c r="B805" i="2"/>
  <c r="A805" i="2"/>
  <c r="C804" i="2"/>
  <c r="B804" i="2"/>
  <c r="A804" i="2"/>
  <c r="C803" i="2"/>
  <c r="B803" i="2"/>
  <c r="A803" i="2"/>
  <c r="C802" i="2"/>
  <c r="B802" i="2"/>
  <c r="A802" i="2"/>
  <c r="C801" i="2"/>
  <c r="B801" i="2"/>
  <c r="A801" i="2"/>
  <c r="C800" i="2"/>
  <c r="B800" i="2"/>
  <c r="A800" i="2"/>
  <c r="C799" i="2"/>
  <c r="B799" i="2"/>
  <c r="A799" i="2"/>
  <c r="C798" i="2"/>
  <c r="B798" i="2"/>
  <c r="A798" i="2"/>
  <c r="C797" i="2"/>
  <c r="B797" i="2"/>
  <c r="A797" i="2"/>
  <c r="C796" i="2"/>
  <c r="B796" i="2"/>
  <c r="A796" i="2"/>
  <c r="C795" i="2"/>
  <c r="B795" i="2"/>
  <c r="A795" i="2"/>
  <c r="C794" i="2"/>
  <c r="B794" i="2"/>
  <c r="A794" i="2"/>
  <c r="C793" i="2"/>
  <c r="B793" i="2"/>
  <c r="A793" i="2"/>
  <c r="C792" i="2"/>
  <c r="B792" i="2"/>
  <c r="A792" i="2"/>
  <c r="C791" i="2"/>
  <c r="B791" i="2"/>
  <c r="A791" i="2"/>
  <c r="C790" i="2"/>
  <c r="B790" i="2"/>
  <c r="A790" i="2"/>
  <c r="C789" i="2"/>
  <c r="B789" i="2"/>
  <c r="A789" i="2"/>
  <c r="C788" i="2"/>
  <c r="B788" i="2"/>
  <c r="A788" i="2"/>
  <c r="C787" i="2"/>
  <c r="B787" i="2"/>
  <c r="A787" i="2"/>
  <c r="C786" i="2"/>
  <c r="B786" i="2"/>
  <c r="A786" i="2"/>
  <c r="C785" i="2"/>
  <c r="B785" i="2"/>
  <c r="A785" i="2"/>
  <c r="C784" i="2"/>
  <c r="B784" i="2"/>
  <c r="A784" i="2"/>
  <c r="C783" i="2"/>
  <c r="B783" i="2"/>
  <c r="A783" i="2"/>
  <c r="C782" i="2"/>
  <c r="B782" i="2"/>
  <c r="A782" i="2"/>
  <c r="C781" i="2"/>
  <c r="B781" i="2"/>
  <c r="A781" i="2"/>
  <c r="C780" i="2"/>
  <c r="B780" i="2"/>
  <c r="A780" i="2"/>
  <c r="C779" i="2"/>
  <c r="B779" i="2"/>
  <c r="A779" i="2"/>
  <c r="C778" i="2"/>
  <c r="B778" i="2"/>
  <c r="A778" i="2"/>
  <c r="C777" i="2"/>
  <c r="B777" i="2"/>
  <c r="A777" i="2"/>
  <c r="C776" i="2"/>
  <c r="B776" i="2"/>
  <c r="A776" i="2"/>
  <c r="C775" i="2"/>
  <c r="B775" i="2"/>
  <c r="A775" i="2"/>
  <c r="C774" i="2"/>
  <c r="B774" i="2"/>
  <c r="A774" i="2"/>
  <c r="C773" i="2"/>
  <c r="B773" i="2"/>
  <c r="A773" i="2"/>
  <c r="C772" i="2"/>
  <c r="B772" i="2"/>
  <c r="A772" i="2"/>
  <c r="C771" i="2"/>
  <c r="B771" i="2"/>
  <c r="A771" i="2"/>
  <c r="C770" i="2"/>
  <c r="B770" i="2"/>
  <c r="A770" i="2"/>
  <c r="C769" i="2"/>
  <c r="B769" i="2"/>
  <c r="A769" i="2"/>
  <c r="C768" i="2"/>
  <c r="B768" i="2"/>
  <c r="A768" i="2"/>
  <c r="C767" i="2"/>
  <c r="B767" i="2"/>
  <c r="A767" i="2"/>
  <c r="C766" i="2"/>
  <c r="B766" i="2"/>
  <c r="A766" i="2"/>
  <c r="C765" i="2"/>
  <c r="B765" i="2"/>
  <c r="A765" i="2"/>
  <c r="C764" i="2"/>
  <c r="B764" i="2"/>
  <c r="A764" i="2"/>
  <c r="C763" i="2"/>
  <c r="B763" i="2"/>
  <c r="A763" i="2"/>
  <c r="C762" i="2"/>
  <c r="B762" i="2"/>
  <c r="A762" i="2"/>
  <c r="C761" i="2"/>
  <c r="B761" i="2"/>
  <c r="A761" i="2"/>
  <c r="C760" i="2"/>
  <c r="B760" i="2"/>
  <c r="A760" i="2"/>
  <c r="C759" i="2"/>
  <c r="B759" i="2"/>
  <c r="A759" i="2"/>
  <c r="C758" i="2"/>
  <c r="B758" i="2"/>
  <c r="A758" i="2"/>
  <c r="C757" i="2"/>
  <c r="B757" i="2"/>
  <c r="A757" i="2"/>
  <c r="C756" i="2"/>
  <c r="B756" i="2"/>
  <c r="A756" i="2"/>
  <c r="C755" i="2"/>
  <c r="B755" i="2"/>
  <c r="A755" i="2"/>
  <c r="C754" i="2"/>
  <c r="B754" i="2"/>
  <c r="A754" i="2"/>
  <c r="C753" i="2"/>
  <c r="B753" i="2"/>
  <c r="A753" i="2"/>
  <c r="C752" i="2"/>
  <c r="B752" i="2"/>
  <c r="A752" i="2"/>
  <c r="C751" i="2"/>
  <c r="B751" i="2"/>
  <c r="A751" i="2"/>
  <c r="C750" i="2"/>
  <c r="B750" i="2"/>
  <c r="A750" i="2"/>
  <c r="C749" i="2"/>
  <c r="B749" i="2"/>
  <c r="A749" i="2"/>
  <c r="C748" i="2"/>
  <c r="B748" i="2"/>
  <c r="A748" i="2"/>
  <c r="C747" i="2"/>
  <c r="B747" i="2"/>
  <c r="A747" i="2"/>
  <c r="C746" i="2"/>
  <c r="B746" i="2"/>
  <c r="A746" i="2"/>
  <c r="C745" i="2"/>
  <c r="B745" i="2"/>
  <c r="A745" i="2"/>
  <c r="C744" i="2"/>
  <c r="B744" i="2"/>
  <c r="A744" i="2"/>
  <c r="C743" i="2"/>
  <c r="B743" i="2"/>
  <c r="A743" i="2"/>
  <c r="C742" i="2"/>
  <c r="B742" i="2"/>
  <c r="A742" i="2"/>
  <c r="C741" i="2"/>
  <c r="B741" i="2"/>
  <c r="A741" i="2"/>
  <c r="C740" i="2"/>
  <c r="B740" i="2"/>
  <c r="A740" i="2"/>
  <c r="C739" i="2"/>
  <c r="B739" i="2"/>
  <c r="A739" i="2"/>
  <c r="C738" i="2"/>
  <c r="B738" i="2"/>
  <c r="A738" i="2"/>
  <c r="C737" i="2"/>
  <c r="B737" i="2"/>
  <c r="A737" i="2"/>
  <c r="C736" i="2"/>
  <c r="B736" i="2"/>
  <c r="A736" i="2"/>
  <c r="C735" i="2"/>
  <c r="B735" i="2"/>
  <c r="A735" i="2"/>
  <c r="C734" i="2"/>
  <c r="B734" i="2"/>
  <c r="A734" i="2"/>
  <c r="C733" i="2"/>
  <c r="B733" i="2"/>
  <c r="A733" i="2"/>
  <c r="C732" i="2"/>
  <c r="B732" i="2"/>
  <c r="A732" i="2"/>
  <c r="C731" i="2"/>
  <c r="B731" i="2"/>
  <c r="A731" i="2"/>
  <c r="C730" i="2"/>
  <c r="B730" i="2"/>
  <c r="A730" i="2"/>
  <c r="C729" i="2"/>
  <c r="B729" i="2"/>
  <c r="A729" i="2"/>
  <c r="C728" i="2"/>
  <c r="B728" i="2"/>
  <c r="A728" i="2"/>
  <c r="C727" i="2"/>
  <c r="B727" i="2"/>
  <c r="A727" i="2"/>
  <c r="C726" i="2"/>
  <c r="B726" i="2"/>
  <c r="A726" i="2"/>
  <c r="C725" i="2"/>
  <c r="B725" i="2"/>
  <c r="A725" i="2"/>
  <c r="C724" i="2"/>
  <c r="B724" i="2"/>
  <c r="A724" i="2"/>
  <c r="C723" i="2"/>
  <c r="B723" i="2"/>
  <c r="A723" i="2"/>
  <c r="C722" i="2"/>
  <c r="B722" i="2"/>
  <c r="A722" i="2"/>
  <c r="C721" i="2"/>
  <c r="B721" i="2"/>
  <c r="A721" i="2"/>
  <c r="C720" i="2"/>
  <c r="B720" i="2"/>
  <c r="A720" i="2"/>
  <c r="C719" i="2"/>
  <c r="B719" i="2"/>
  <c r="A719" i="2"/>
  <c r="C718" i="2"/>
  <c r="B718" i="2"/>
  <c r="A718" i="2"/>
  <c r="C717" i="2"/>
  <c r="B717" i="2"/>
  <c r="A717" i="2"/>
  <c r="C716" i="2"/>
  <c r="B716" i="2"/>
  <c r="A716" i="2"/>
  <c r="C715" i="2"/>
  <c r="B715" i="2"/>
  <c r="A715" i="2"/>
  <c r="C714" i="2"/>
  <c r="B714" i="2"/>
  <c r="A714" i="2"/>
  <c r="C713" i="2"/>
  <c r="B713" i="2"/>
  <c r="A713" i="2"/>
  <c r="C712" i="2"/>
  <c r="B712" i="2"/>
  <c r="A712" i="2"/>
  <c r="C711" i="2"/>
  <c r="B711" i="2"/>
  <c r="A711" i="2"/>
  <c r="C710" i="2"/>
  <c r="B710" i="2"/>
  <c r="A710" i="2"/>
  <c r="C709" i="2"/>
  <c r="B709" i="2"/>
  <c r="A709" i="2"/>
  <c r="C708" i="2"/>
  <c r="B708" i="2"/>
  <c r="A708" i="2"/>
  <c r="C707" i="2"/>
  <c r="B707" i="2"/>
  <c r="A707" i="2"/>
  <c r="C706" i="2"/>
  <c r="B706" i="2"/>
  <c r="A706" i="2"/>
  <c r="C705" i="2"/>
  <c r="B705" i="2"/>
  <c r="A705" i="2"/>
  <c r="C704" i="2"/>
  <c r="B704" i="2"/>
  <c r="A704" i="2"/>
  <c r="C703" i="2"/>
  <c r="B703" i="2"/>
  <c r="A703" i="2"/>
  <c r="C702" i="2"/>
  <c r="B702" i="2"/>
  <c r="A702" i="2"/>
  <c r="C701" i="2"/>
  <c r="B701" i="2"/>
  <c r="A701" i="2"/>
  <c r="C700" i="2"/>
  <c r="B700" i="2"/>
  <c r="A700" i="2"/>
  <c r="C699" i="2"/>
  <c r="B699" i="2"/>
  <c r="A699" i="2"/>
  <c r="C698" i="2"/>
  <c r="B698" i="2"/>
  <c r="A698" i="2"/>
  <c r="C697" i="2"/>
  <c r="B697" i="2"/>
  <c r="A697" i="2"/>
  <c r="C696" i="2"/>
  <c r="B696" i="2"/>
  <c r="A696" i="2"/>
  <c r="C695" i="2"/>
  <c r="B695" i="2"/>
  <c r="A695" i="2"/>
  <c r="C694" i="2"/>
  <c r="B694" i="2"/>
  <c r="A694" i="2"/>
  <c r="C693" i="2"/>
  <c r="B693" i="2"/>
  <c r="A693" i="2"/>
  <c r="C692" i="2"/>
  <c r="B692" i="2"/>
  <c r="A692" i="2"/>
  <c r="C691" i="2"/>
  <c r="B691" i="2"/>
  <c r="A691" i="2"/>
  <c r="C690" i="2"/>
  <c r="B690" i="2"/>
  <c r="A690" i="2"/>
  <c r="C689" i="2"/>
  <c r="B689" i="2"/>
  <c r="A689" i="2"/>
  <c r="C688" i="2"/>
  <c r="B688" i="2"/>
  <c r="A688" i="2"/>
  <c r="C687" i="2"/>
  <c r="B687" i="2"/>
  <c r="A687" i="2"/>
  <c r="C686" i="2"/>
  <c r="B686" i="2"/>
  <c r="A686" i="2"/>
  <c r="C685" i="2"/>
  <c r="B685" i="2"/>
  <c r="A685" i="2"/>
  <c r="C684" i="2"/>
  <c r="B684" i="2"/>
  <c r="A684" i="2"/>
  <c r="C683" i="2"/>
  <c r="B683" i="2"/>
  <c r="A683" i="2"/>
  <c r="C682" i="2"/>
  <c r="B682" i="2"/>
  <c r="A682" i="2"/>
  <c r="C681" i="2"/>
  <c r="B681" i="2"/>
  <c r="A681" i="2"/>
  <c r="C680" i="2"/>
  <c r="B680" i="2"/>
  <c r="A680" i="2"/>
  <c r="C679" i="2"/>
  <c r="A679" i="2"/>
  <c r="C678" i="2"/>
  <c r="B678" i="2"/>
  <c r="A678" i="2"/>
  <c r="C677" i="2"/>
  <c r="B677" i="2"/>
  <c r="A677" i="2"/>
  <c r="C676" i="2"/>
  <c r="B676" i="2"/>
  <c r="A676" i="2"/>
  <c r="C675" i="2"/>
  <c r="A675" i="2"/>
  <c r="C674" i="2"/>
  <c r="B674" i="2"/>
  <c r="A674" i="2"/>
  <c r="C673" i="2"/>
  <c r="B673" i="2"/>
  <c r="A673" i="2"/>
  <c r="C672" i="2"/>
  <c r="B672" i="2"/>
  <c r="A672" i="2"/>
  <c r="C671" i="2"/>
  <c r="B671" i="2"/>
  <c r="A671" i="2"/>
  <c r="C670" i="2"/>
  <c r="B670" i="2"/>
  <c r="A670" i="2"/>
  <c r="C669" i="2"/>
  <c r="B669" i="2"/>
  <c r="A669" i="2"/>
  <c r="C668" i="2"/>
  <c r="B668" i="2"/>
  <c r="A668" i="2"/>
  <c r="C667" i="2"/>
  <c r="B667" i="2"/>
  <c r="A667" i="2"/>
  <c r="C666" i="2"/>
  <c r="B666" i="2"/>
  <c r="A666" i="2"/>
  <c r="C665" i="2"/>
  <c r="B665" i="2"/>
  <c r="A665" i="2"/>
  <c r="C664" i="2"/>
  <c r="B664" i="2"/>
  <c r="A664" i="2"/>
  <c r="C663" i="2"/>
  <c r="B663" i="2"/>
  <c r="A663" i="2"/>
  <c r="C662" i="2"/>
  <c r="B662" i="2"/>
  <c r="A662" i="2"/>
  <c r="C661" i="2"/>
  <c r="B661" i="2"/>
  <c r="A661" i="2"/>
  <c r="C660" i="2"/>
  <c r="B660" i="2"/>
  <c r="A660" i="2"/>
  <c r="C659" i="2"/>
  <c r="B659" i="2"/>
  <c r="A659" i="2"/>
  <c r="C658" i="2"/>
  <c r="B658" i="2"/>
  <c r="A658" i="2"/>
  <c r="C657" i="2"/>
  <c r="B657" i="2"/>
  <c r="A657" i="2"/>
  <c r="C656" i="2"/>
  <c r="B656" i="2"/>
  <c r="A656" i="2"/>
  <c r="C655" i="2"/>
  <c r="B655" i="2"/>
  <c r="A655" i="2"/>
  <c r="C654" i="2"/>
  <c r="A654" i="2"/>
  <c r="C653" i="2"/>
  <c r="B653" i="2"/>
  <c r="A653" i="2"/>
  <c r="C652" i="2"/>
  <c r="B652" i="2"/>
  <c r="A652" i="2"/>
  <c r="C651" i="2"/>
  <c r="B651" i="2"/>
  <c r="A651" i="2"/>
  <c r="C650" i="2"/>
  <c r="B650" i="2"/>
  <c r="A650" i="2"/>
  <c r="C649" i="2"/>
  <c r="B649" i="2"/>
  <c r="A649" i="2"/>
  <c r="C648" i="2"/>
  <c r="B648" i="2"/>
  <c r="A648" i="2"/>
  <c r="C647" i="2"/>
  <c r="B647" i="2"/>
  <c r="A647" i="2"/>
  <c r="C646" i="2"/>
  <c r="B646" i="2"/>
  <c r="A646" i="2"/>
  <c r="C645" i="2"/>
  <c r="B645" i="2"/>
  <c r="A645" i="2"/>
  <c r="C644" i="2"/>
  <c r="B644" i="2"/>
  <c r="A644" i="2"/>
  <c r="C643" i="2"/>
  <c r="B643" i="2"/>
  <c r="A643" i="2"/>
  <c r="C642" i="2"/>
  <c r="B642" i="2"/>
  <c r="A642" i="2"/>
  <c r="C641" i="2"/>
  <c r="B641" i="2"/>
  <c r="A641" i="2"/>
  <c r="C640" i="2"/>
  <c r="A640" i="2"/>
  <c r="C639" i="2"/>
  <c r="B639" i="2"/>
  <c r="A639" i="2"/>
  <c r="C638" i="2"/>
  <c r="B638" i="2"/>
  <c r="A638" i="2"/>
  <c r="C637" i="2"/>
  <c r="B637" i="2"/>
  <c r="A637" i="2"/>
  <c r="C636" i="2"/>
  <c r="B636" i="2"/>
  <c r="A636" i="2"/>
  <c r="C635" i="2"/>
  <c r="B635" i="2"/>
  <c r="A635" i="2"/>
  <c r="C634" i="2"/>
  <c r="B634" i="2"/>
  <c r="A634" i="2"/>
  <c r="C633" i="2"/>
  <c r="B633" i="2"/>
  <c r="A633" i="2"/>
  <c r="C632" i="2"/>
  <c r="B632" i="2"/>
  <c r="A632" i="2"/>
  <c r="C631" i="2"/>
  <c r="B631" i="2"/>
  <c r="A631" i="2"/>
  <c r="C630" i="2"/>
  <c r="B630" i="2"/>
  <c r="A630" i="2"/>
  <c r="C629" i="2"/>
  <c r="B629" i="2"/>
  <c r="A629" i="2"/>
  <c r="C628" i="2"/>
  <c r="B628" i="2"/>
  <c r="A628" i="2"/>
  <c r="C627" i="2"/>
  <c r="B627" i="2"/>
  <c r="A627" i="2"/>
  <c r="C626" i="2"/>
  <c r="B626" i="2"/>
  <c r="A626" i="2"/>
  <c r="C625" i="2"/>
  <c r="B625" i="2"/>
  <c r="A625" i="2"/>
  <c r="C624" i="2"/>
  <c r="B624" i="2"/>
  <c r="A624" i="2"/>
  <c r="C623" i="2"/>
  <c r="B623" i="2"/>
  <c r="A623" i="2"/>
  <c r="C622" i="2"/>
  <c r="B622" i="2"/>
  <c r="A622" i="2"/>
  <c r="C621" i="2"/>
  <c r="B621" i="2"/>
  <c r="A621" i="2"/>
  <c r="C620" i="2"/>
  <c r="B620" i="2"/>
  <c r="A620" i="2"/>
  <c r="C619" i="2"/>
  <c r="B619" i="2"/>
  <c r="A619" i="2"/>
  <c r="C618" i="2"/>
  <c r="B618" i="2"/>
  <c r="A618" i="2"/>
  <c r="C617" i="2"/>
  <c r="B617" i="2"/>
  <c r="A617" i="2"/>
  <c r="C616" i="2"/>
  <c r="B616" i="2"/>
  <c r="A616" i="2"/>
  <c r="C615" i="2"/>
  <c r="B615" i="2"/>
  <c r="A615" i="2"/>
  <c r="C614" i="2"/>
  <c r="B614" i="2"/>
  <c r="A614" i="2"/>
  <c r="C613" i="2"/>
  <c r="B613" i="2"/>
  <c r="A613" i="2"/>
  <c r="C612" i="2"/>
  <c r="B612" i="2"/>
  <c r="A612" i="2"/>
  <c r="C611" i="2"/>
  <c r="B611" i="2"/>
  <c r="A611" i="2"/>
  <c r="C610" i="2"/>
  <c r="B610" i="2"/>
  <c r="A610" i="2"/>
  <c r="C609" i="2"/>
  <c r="B609" i="2"/>
  <c r="A609" i="2"/>
  <c r="C608" i="2"/>
  <c r="B608" i="2"/>
  <c r="A608" i="2"/>
  <c r="C607" i="2"/>
  <c r="B607" i="2"/>
  <c r="A607" i="2"/>
  <c r="C606" i="2"/>
  <c r="B606" i="2"/>
  <c r="A606" i="2"/>
  <c r="C605" i="2"/>
  <c r="B605" i="2"/>
  <c r="A605" i="2"/>
  <c r="C604" i="2"/>
  <c r="B604" i="2"/>
  <c r="A604" i="2"/>
  <c r="C603" i="2"/>
  <c r="B603" i="2"/>
  <c r="A603" i="2"/>
  <c r="C602" i="2"/>
  <c r="B602" i="2"/>
  <c r="A602" i="2"/>
  <c r="C601" i="2"/>
  <c r="B601" i="2"/>
  <c r="A601" i="2"/>
  <c r="C600" i="2"/>
  <c r="B600" i="2"/>
  <c r="A600" i="2"/>
  <c r="C599" i="2"/>
  <c r="B599" i="2"/>
  <c r="A599" i="2"/>
  <c r="C598" i="2"/>
  <c r="B598" i="2"/>
  <c r="A598" i="2"/>
  <c r="C597" i="2"/>
  <c r="B597" i="2"/>
  <c r="A597" i="2"/>
  <c r="C596" i="2"/>
  <c r="B596" i="2"/>
  <c r="A596" i="2"/>
  <c r="C595" i="2"/>
  <c r="B595" i="2"/>
  <c r="A595" i="2"/>
  <c r="C594" i="2"/>
  <c r="B594" i="2"/>
  <c r="A594" i="2"/>
  <c r="C593" i="2"/>
  <c r="B593" i="2"/>
  <c r="A593" i="2"/>
  <c r="C592" i="2"/>
  <c r="B592" i="2"/>
  <c r="A592" i="2"/>
  <c r="C591" i="2"/>
  <c r="B591" i="2"/>
  <c r="A591" i="2"/>
  <c r="C590" i="2"/>
  <c r="B590" i="2"/>
  <c r="A590" i="2"/>
  <c r="C589" i="2"/>
  <c r="B589" i="2"/>
  <c r="A589" i="2"/>
  <c r="C588" i="2"/>
  <c r="B588" i="2"/>
  <c r="A588" i="2"/>
  <c r="C587" i="2"/>
  <c r="B587" i="2"/>
  <c r="A587" i="2"/>
  <c r="C586" i="2"/>
  <c r="B586" i="2"/>
  <c r="A586" i="2"/>
  <c r="C585" i="2"/>
  <c r="B585" i="2"/>
  <c r="A585" i="2"/>
  <c r="C584" i="2"/>
  <c r="B584" i="2"/>
  <c r="A584" i="2"/>
  <c r="C583" i="2"/>
  <c r="B583" i="2"/>
  <c r="A583" i="2"/>
  <c r="C582" i="2"/>
  <c r="B582" i="2"/>
  <c r="A582" i="2"/>
  <c r="C581" i="2"/>
  <c r="B581" i="2"/>
  <c r="A581" i="2"/>
  <c r="C580" i="2"/>
  <c r="B580" i="2"/>
  <c r="A580" i="2"/>
  <c r="C579" i="2"/>
  <c r="B579" i="2"/>
  <c r="A579" i="2"/>
  <c r="C578" i="2"/>
  <c r="B578" i="2"/>
  <c r="A578" i="2"/>
  <c r="C577" i="2"/>
  <c r="B577" i="2"/>
  <c r="A577" i="2"/>
  <c r="C576" i="2"/>
  <c r="B576" i="2"/>
  <c r="A576" i="2"/>
  <c r="C575" i="2"/>
  <c r="B575" i="2"/>
  <c r="A575" i="2"/>
  <c r="C574" i="2"/>
  <c r="B574" i="2"/>
  <c r="A574" i="2"/>
  <c r="C573" i="2"/>
  <c r="B573" i="2"/>
  <c r="A573" i="2"/>
  <c r="C572" i="2"/>
  <c r="B572" i="2"/>
  <c r="A572" i="2"/>
  <c r="C571" i="2"/>
  <c r="B571" i="2"/>
  <c r="A571" i="2"/>
  <c r="C570" i="2"/>
  <c r="B570" i="2"/>
  <c r="A570" i="2"/>
  <c r="C569" i="2"/>
  <c r="B569" i="2"/>
  <c r="A569" i="2"/>
  <c r="C568" i="2"/>
  <c r="B568" i="2"/>
  <c r="A568" i="2"/>
  <c r="C567" i="2"/>
  <c r="B567" i="2"/>
  <c r="A567" i="2"/>
  <c r="C566" i="2"/>
  <c r="B566" i="2"/>
  <c r="A566" i="2"/>
  <c r="C565" i="2"/>
  <c r="B565" i="2"/>
  <c r="A565" i="2"/>
  <c r="C564" i="2"/>
  <c r="B564" i="2"/>
  <c r="A564" i="2"/>
  <c r="C563" i="2"/>
  <c r="B563" i="2"/>
  <c r="A563" i="2"/>
  <c r="C562" i="2"/>
  <c r="B562" i="2"/>
  <c r="A562" i="2"/>
  <c r="C561" i="2"/>
  <c r="B561" i="2"/>
  <c r="A561" i="2"/>
  <c r="C560" i="2"/>
  <c r="B560" i="2"/>
  <c r="A560" i="2"/>
  <c r="C559" i="2"/>
  <c r="B559" i="2"/>
  <c r="A559" i="2"/>
  <c r="C558" i="2"/>
  <c r="B558" i="2"/>
  <c r="A558" i="2"/>
  <c r="C557" i="2"/>
  <c r="B557" i="2"/>
  <c r="A557" i="2"/>
  <c r="C556" i="2"/>
  <c r="B556" i="2"/>
  <c r="A556" i="2"/>
  <c r="C555" i="2"/>
  <c r="B555" i="2"/>
  <c r="A555" i="2"/>
  <c r="C554" i="2"/>
  <c r="B554" i="2"/>
  <c r="A554" i="2"/>
  <c r="C553" i="2"/>
  <c r="B553" i="2"/>
  <c r="A553" i="2"/>
  <c r="C552" i="2"/>
  <c r="B552" i="2"/>
  <c r="A552" i="2"/>
  <c r="C551" i="2"/>
  <c r="B551" i="2"/>
  <c r="A551" i="2"/>
  <c r="C550" i="2"/>
  <c r="B550" i="2"/>
  <c r="A550" i="2"/>
  <c r="C549" i="2"/>
  <c r="B549" i="2"/>
  <c r="A549" i="2"/>
  <c r="C548" i="2"/>
  <c r="B548" i="2"/>
  <c r="A548" i="2"/>
  <c r="C547" i="2"/>
  <c r="B547" i="2"/>
  <c r="A547" i="2"/>
  <c r="C546" i="2"/>
  <c r="B546" i="2"/>
  <c r="A546" i="2"/>
  <c r="C545" i="2"/>
  <c r="B545" i="2"/>
  <c r="A545" i="2"/>
  <c r="C544" i="2"/>
  <c r="B544" i="2"/>
  <c r="A544" i="2"/>
  <c r="C543" i="2"/>
  <c r="B543" i="2"/>
  <c r="A543" i="2"/>
  <c r="C542" i="2"/>
  <c r="B542" i="2"/>
  <c r="A542" i="2"/>
  <c r="C541" i="2"/>
  <c r="B541" i="2"/>
  <c r="A541" i="2"/>
  <c r="C540" i="2"/>
  <c r="B540" i="2"/>
  <c r="A540" i="2"/>
  <c r="C539" i="2"/>
  <c r="B539" i="2"/>
  <c r="A539" i="2"/>
  <c r="C538" i="2"/>
  <c r="B538" i="2"/>
  <c r="A538" i="2"/>
  <c r="C537" i="2"/>
  <c r="B537" i="2"/>
  <c r="A537" i="2"/>
  <c r="C536" i="2"/>
  <c r="B536" i="2"/>
  <c r="A536" i="2"/>
  <c r="C535" i="2"/>
  <c r="B535" i="2"/>
  <c r="A535" i="2"/>
  <c r="C534" i="2"/>
  <c r="B534" i="2"/>
  <c r="A534" i="2"/>
  <c r="C533" i="2"/>
  <c r="B533" i="2"/>
  <c r="A533" i="2"/>
  <c r="C532" i="2"/>
  <c r="B532" i="2"/>
  <c r="A532" i="2"/>
  <c r="C531" i="2"/>
  <c r="B531" i="2"/>
  <c r="A531" i="2"/>
  <c r="C530" i="2"/>
  <c r="B530" i="2"/>
  <c r="A530" i="2"/>
  <c r="C529" i="2"/>
  <c r="B529" i="2"/>
  <c r="A529" i="2"/>
  <c r="C528" i="2"/>
  <c r="B528" i="2"/>
  <c r="A528" i="2"/>
  <c r="C527" i="2"/>
  <c r="B527" i="2"/>
  <c r="A527" i="2"/>
  <c r="C526" i="2"/>
  <c r="B526" i="2"/>
  <c r="A526" i="2"/>
  <c r="C525" i="2"/>
  <c r="B525" i="2"/>
  <c r="A525" i="2"/>
  <c r="C524" i="2"/>
  <c r="B524" i="2"/>
  <c r="A524" i="2"/>
  <c r="C523" i="2"/>
  <c r="B523" i="2"/>
  <c r="A523" i="2"/>
  <c r="C522" i="2"/>
  <c r="B522" i="2"/>
  <c r="A522" i="2"/>
  <c r="C521" i="2"/>
  <c r="B521" i="2"/>
  <c r="A521" i="2"/>
  <c r="C520" i="2"/>
  <c r="B520" i="2"/>
  <c r="A520" i="2"/>
  <c r="C519" i="2"/>
  <c r="B519" i="2"/>
  <c r="A519" i="2"/>
  <c r="C518" i="2"/>
  <c r="B518" i="2"/>
  <c r="A518" i="2"/>
  <c r="C517" i="2"/>
  <c r="B517" i="2"/>
  <c r="A517" i="2"/>
  <c r="C516" i="2"/>
  <c r="B516" i="2"/>
  <c r="A516" i="2"/>
  <c r="C515" i="2"/>
  <c r="B515" i="2"/>
  <c r="A515" i="2"/>
  <c r="C514" i="2"/>
  <c r="B514" i="2"/>
  <c r="A514" i="2"/>
  <c r="C513" i="2"/>
  <c r="B513" i="2"/>
  <c r="A513" i="2"/>
  <c r="C512" i="2"/>
  <c r="B512" i="2"/>
  <c r="A512" i="2"/>
  <c r="C511" i="2"/>
  <c r="B511" i="2"/>
  <c r="A511" i="2"/>
  <c r="C510" i="2"/>
  <c r="B510" i="2"/>
  <c r="A510" i="2"/>
  <c r="C509" i="2"/>
  <c r="B509" i="2"/>
  <c r="A509" i="2"/>
  <c r="C508" i="2"/>
  <c r="B508" i="2"/>
  <c r="A508" i="2"/>
  <c r="C507" i="2"/>
  <c r="B507" i="2"/>
  <c r="A507" i="2"/>
  <c r="C506" i="2"/>
  <c r="B506" i="2"/>
  <c r="A506" i="2"/>
  <c r="C505" i="2"/>
  <c r="B505" i="2"/>
  <c r="A505" i="2"/>
  <c r="C504" i="2"/>
  <c r="B504" i="2"/>
  <c r="A504" i="2"/>
  <c r="C503" i="2"/>
  <c r="B503" i="2"/>
  <c r="A503" i="2"/>
  <c r="C502" i="2"/>
  <c r="B502" i="2"/>
  <c r="A502" i="2"/>
  <c r="C501" i="2"/>
  <c r="B501" i="2"/>
  <c r="A501" i="2"/>
  <c r="C500" i="2"/>
  <c r="B500" i="2"/>
  <c r="A500" i="2"/>
  <c r="C499" i="2"/>
  <c r="B499" i="2"/>
  <c r="A499" i="2"/>
  <c r="C498" i="2"/>
  <c r="B498" i="2"/>
  <c r="A498" i="2"/>
  <c r="C497" i="2"/>
  <c r="B497" i="2"/>
  <c r="A497" i="2"/>
  <c r="C496" i="2"/>
  <c r="B496" i="2"/>
  <c r="A496" i="2"/>
  <c r="C495" i="2"/>
  <c r="B495" i="2"/>
  <c r="A495" i="2"/>
  <c r="C494" i="2"/>
  <c r="B494" i="2"/>
  <c r="A494" i="2"/>
  <c r="C493" i="2"/>
  <c r="B493" i="2"/>
  <c r="A493" i="2"/>
  <c r="C492" i="2"/>
  <c r="B492" i="2"/>
  <c r="A492" i="2"/>
  <c r="C491" i="2"/>
  <c r="B491" i="2"/>
  <c r="A491" i="2"/>
  <c r="C490" i="2"/>
  <c r="B490" i="2"/>
  <c r="A490" i="2"/>
  <c r="C489" i="2"/>
  <c r="B489" i="2"/>
  <c r="A489" i="2"/>
  <c r="C488" i="2"/>
  <c r="B488" i="2"/>
  <c r="A488" i="2"/>
  <c r="C487" i="2"/>
  <c r="B487" i="2"/>
  <c r="A487" i="2"/>
  <c r="C486" i="2"/>
  <c r="B486" i="2"/>
  <c r="A486" i="2"/>
  <c r="C485" i="2"/>
  <c r="B485" i="2"/>
  <c r="A485" i="2"/>
  <c r="C484" i="2"/>
  <c r="B484" i="2"/>
  <c r="A484" i="2"/>
  <c r="C483" i="2"/>
  <c r="B483" i="2"/>
  <c r="A483" i="2"/>
  <c r="C482" i="2"/>
  <c r="B482" i="2"/>
  <c r="A482" i="2"/>
  <c r="C481" i="2"/>
  <c r="B481" i="2"/>
  <c r="A481" i="2"/>
  <c r="C480" i="2"/>
  <c r="B480" i="2"/>
  <c r="A480" i="2"/>
  <c r="C479" i="2"/>
  <c r="B479" i="2"/>
  <c r="A479" i="2"/>
  <c r="C478" i="2"/>
  <c r="B478" i="2"/>
  <c r="A478" i="2"/>
  <c r="C477" i="2"/>
  <c r="B477" i="2"/>
  <c r="A477" i="2"/>
  <c r="C476" i="2"/>
  <c r="B476" i="2"/>
  <c r="A476" i="2"/>
  <c r="C475" i="2"/>
  <c r="B475" i="2"/>
  <c r="A475" i="2"/>
  <c r="C474" i="2"/>
  <c r="B474" i="2"/>
  <c r="A474" i="2"/>
  <c r="C473" i="2"/>
  <c r="B473" i="2"/>
  <c r="A473" i="2"/>
  <c r="C472" i="2"/>
  <c r="B472" i="2"/>
  <c r="A472" i="2"/>
  <c r="C471" i="2"/>
  <c r="B471" i="2"/>
  <c r="A471" i="2"/>
  <c r="C470" i="2"/>
  <c r="B470" i="2"/>
  <c r="A470" i="2"/>
  <c r="C469" i="2"/>
  <c r="B469" i="2"/>
  <c r="A469" i="2"/>
  <c r="C468" i="2"/>
  <c r="B468" i="2"/>
  <c r="A468" i="2"/>
  <c r="C467" i="2"/>
  <c r="B467" i="2"/>
  <c r="A467" i="2"/>
  <c r="C466" i="2"/>
  <c r="B466" i="2"/>
  <c r="A466" i="2"/>
  <c r="C465" i="2"/>
  <c r="B465" i="2"/>
  <c r="A465" i="2"/>
  <c r="C464" i="2"/>
  <c r="B464" i="2"/>
  <c r="A464" i="2"/>
  <c r="C463" i="2"/>
  <c r="B463" i="2"/>
  <c r="A463" i="2"/>
  <c r="C462" i="2"/>
  <c r="B462" i="2"/>
  <c r="A462" i="2"/>
  <c r="C461" i="2"/>
  <c r="B461" i="2"/>
  <c r="A461" i="2"/>
  <c r="C460" i="2"/>
  <c r="B460" i="2"/>
  <c r="A460" i="2"/>
  <c r="C459" i="2"/>
  <c r="B459" i="2"/>
  <c r="A459" i="2"/>
  <c r="C458" i="2"/>
  <c r="B458" i="2"/>
  <c r="A458" i="2"/>
  <c r="C457" i="2"/>
  <c r="B457" i="2"/>
  <c r="A457" i="2"/>
  <c r="C456" i="2"/>
  <c r="B456" i="2"/>
  <c r="A456" i="2"/>
  <c r="C455" i="2"/>
  <c r="B455" i="2"/>
  <c r="A455" i="2"/>
  <c r="C454" i="2"/>
  <c r="B454" i="2"/>
  <c r="A454" i="2"/>
  <c r="C453" i="2"/>
  <c r="B453" i="2"/>
  <c r="A453" i="2"/>
  <c r="C452" i="2"/>
  <c r="B452" i="2"/>
  <c r="A452" i="2"/>
  <c r="C451" i="2"/>
  <c r="B451" i="2"/>
  <c r="A451" i="2"/>
  <c r="C450" i="2"/>
  <c r="B450" i="2"/>
  <c r="A450" i="2"/>
  <c r="C449" i="2"/>
  <c r="B449" i="2"/>
  <c r="A449" i="2"/>
  <c r="C448" i="2"/>
  <c r="B448" i="2"/>
  <c r="A448" i="2"/>
  <c r="C447" i="2"/>
  <c r="B447" i="2"/>
  <c r="A447" i="2"/>
  <c r="C446" i="2"/>
  <c r="B446" i="2"/>
  <c r="A446" i="2"/>
  <c r="C445" i="2"/>
  <c r="B445" i="2"/>
  <c r="A445" i="2"/>
  <c r="C444" i="2"/>
  <c r="B444" i="2"/>
  <c r="A444" i="2"/>
  <c r="C443" i="2"/>
  <c r="B443" i="2"/>
  <c r="A443" i="2"/>
  <c r="C442" i="2"/>
  <c r="B442" i="2"/>
  <c r="A442" i="2"/>
  <c r="C441" i="2"/>
  <c r="B441" i="2"/>
  <c r="A441" i="2"/>
  <c r="C440" i="2"/>
  <c r="B440" i="2"/>
  <c r="A440" i="2"/>
  <c r="C439" i="2"/>
  <c r="B439" i="2"/>
  <c r="A439" i="2"/>
  <c r="C438" i="2"/>
  <c r="B438" i="2"/>
  <c r="A438" i="2"/>
  <c r="C437" i="2"/>
  <c r="B437" i="2"/>
  <c r="A437" i="2"/>
  <c r="C436" i="2"/>
  <c r="B436" i="2"/>
  <c r="A436" i="2"/>
  <c r="C435" i="2"/>
  <c r="B435" i="2"/>
  <c r="A435" i="2"/>
  <c r="C434" i="2"/>
  <c r="B434" i="2"/>
  <c r="A434" i="2"/>
  <c r="C433" i="2"/>
  <c r="B433" i="2"/>
  <c r="A433" i="2"/>
  <c r="C432" i="2"/>
  <c r="B432" i="2"/>
  <c r="A432" i="2"/>
  <c r="C431" i="2"/>
  <c r="B431" i="2"/>
  <c r="A431" i="2"/>
  <c r="C430" i="2"/>
  <c r="B430" i="2"/>
  <c r="A430" i="2"/>
  <c r="C429" i="2"/>
  <c r="B429" i="2"/>
  <c r="A429" i="2"/>
  <c r="C428" i="2"/>
  <c r="B428" i="2"/>
  <c r="A428" i="2"/>
  <c r="C427" i="2"/>
  <c r="B427" i="2"/>
  <c r="A427" i="2"/>
  <c r="C426" i="2"/>
  <c r="B426" i="2"/>
  <c r="A426" i="2"/>
  <c r="C425" i="2"/>
  <c r="B425" i="2"/>
  <c r="A425" i="2"/>
  <c r="C424" i="2"/>
  <c r="B424" i="2"/>
  <c r="A424" i="2"/>
  <c r="C423" i="2"/>
  <c r="B423" i="2"/>
  <c r="A423" i="2"/>
  <c r="C422" i="2"/>
  <c r="B422" i="2"/>
  <c r="A422" i="2"/>
  <c r="C421" i="2"/>
  <c r="B421" i="2"/>
  <c r="A421" i="2"/>
  <c r="C420" i="2"/>
  <c r="B420" i="2"/>
  <c r="A420" i="2"/>
  <c r="C419" i="2"/>
  <c r="B419" i="2"/>
  <c r="A419" i="2"/>
  <c r="C418" i="2"/>
  <c r="B418" i="2"/>
  <c r="A418" i="2"/>
  <c r="C417" i="2"/>
  <c r="B417" i="2"/>
  <c r="A417" i="2"/>
  <c r="C416" i="2"/>
  <c r="B416" i="2"/>
  <c r="A416" i="2"/>
  <c r="C415" i="2"/>
  <c r="B415" i="2"/>
  <c r="A415" i="2"/>
  <c r="C414" i="2"/>
  <c r="B414" i="2"/>
  <c r="A414" i="2"/>
  <c r="C413" i="2"/>
  <c r="B413" i="2"/>
  <c r="A413" i="2"/>
  <c r="C412" i="2"/>
  <c r="B412" i="2"/>
  <c r="A412" i="2"/>
  <c r="C411" i="2"/>
  <c r="B411" i="2"/>
  <c r="A411" i="2"/>
  <c r="C410" i="2"/>
  <c r="B410" i="2"/>
  <c r="A410" i="2"/>
  <c r="C409" i="2"/>
  <c r="B409" i="2"/>
  <c r="A409" i="2"/>
  <c r="C408" i="2"/>
  <c r="B408" i="2"/>
  <c r="A408" i="2"/>
  <c r="C407" i="2"/>
  <c r="B407" i="2"/>
  <c r="A407" i="2"/>
  <c r="C406" i="2"/>
  <c r="B406" i="2"/>
  <c r="A406" i="2"/>
  <c r="C405" i="2"/>
  <c r="B405" i="2"/>
  <c r="A405" i="2"/>
  <c r="C404" i="2"/>
  <c r="B404" i="2"/>
  <c r="A404" i="2"/>
  <c r="C403" i="2"/>
  <c r="B403" i="2"/>
  <c r="A403" i="2"/>
  <c r="C402" i="2"/>
  <c r="B402" i="2"/>
  <c r="A402" i="2"/>
  <c r="C401" i="2"/>
  <c r="B401" i="2"/>
  <c r="A401" i="2"/>
  <c r="C400" i="2"/>
  <c r="B400" i="2"/>
  <c r="A400" i="2"/>
  <c r="C399" i="2"/>
  <c r="B399" i="2"/>
  <c r="A399" i="2"/>
  <c r="C398" i="2"/>
  <c r="B398" i="2"/>
  <c r="A398" i="2"/>
  <c r="C397" i="2"/>
  <c r="B397" i="2"/>
  <c r="A397" i="2"/>
  <c r="C396" i="2"/>
  <c r="B396" i="2"/>
  <c r="A396" i="2"/>
  <c r="C395" i="2"/>
  <c r="B395" i="2"/>
  <c r="A395" i="2"/>
  <c r="C394" i="2"/>
  <c r="B394" i="2"/>
  <c r="A394" i="2"/>
  <c r="C393" i="2"/>
  <c r="B393" i="2"/>
  <c r="A393" i="2"/>
  <c r="C392" i="2"/>
  <c r="B392" i="2"/>
  <c r="A392" i="2"/>
  <c r="C391" i="2"/>
  <c r="B391" i="2"/>
  <c r="A391" i="2"/>
  <c r="C390" i="2"/>
  <c r="B390" i="2"/>
  <c r="A390" i="2"/>
  <c r="C389" i="2"/>
  <c r="B389" i="2"/>
  <c r="A389" i="2"/>
  <c r="C388" i="2"/>
  <c r="A388" i="2"/>
  <c r="C387" i="2"/>
  <c r="A387" i="2"/>
  <c r="C386" i="2"/>
  <c r="B386" i="2"/>
  <c r="A386" i="2"/>
  <c r="C385" i="2"/>
  <c r="B385" i="2"/>
  <c r="A385" i="2"/>
  <c r="C384" i="2"/>
  <c r="B384" i="2"/>
  <c r="A384" i="2"/>
  <c r="C383" i="2"/>
  <c r="B383" i="2"/>
  <c r="A383" i="2"/>
  <c r="C382" i="2"/>
  <c r="B382" i="2"/>
  <c r="A382" i="2"/>
  <c r="C381" i="2"/>
  <c r="B381" i="2"/>
  <c r="A381" i="2"/>
  <c r="C380" i="2"/>
  <c r="B380" i="2"/>
  <c r="A380" i="2"/>
  <c r="C379" i="2"/>
  <c r="B379" i="2"/>
  <c r="A379" i="2"/>
  <c r="C378" i="2"/>
  <c r="B378" i="2"/>
  <c r="A378" i="2"/>
  <c r="C377" i="2"/>
  <c r="B377" i="2"/>
  <c r="A377" i="2"/>
  <c r="C376" i="2"/>
  <c r="B376" i="2"/>
  <c r="A376" i="2"/>
  <c r="C375" i="2"/>
  <c r="B375" i="2"/>
  <c r="A375" i="2"/>
  <c r="C374" i="2"/>
  <c r="B374" i="2"/>
  <c r="A374" i="2"/>
  <c r="C373" i="2"/>
  <c r="B373" i="2"/>
  <c r="A373" i="2"/>
  <c r="C372" i="2"/>
  <c r="B372" i="2"/>
  <c r="A372" i="2"/>
  <c r="C371" i="2"/>
  <c r="B371" i="2"/>
  <c r="A371" i="2"/>
  <c r="C370" i="2"/>
  <c r="B370" i="2"/>
  <c r="A370" i="2"/>
  <c r="C369" i="2"/>
  <c r="B369" i="2"/>
  <c r="A369" i="2"/>
  <c r="C368" i="2"/>
  <c r="B368" i="2"/>
  <c r="A368" i="2"/>
  <c r="C367" i="2"/>
  <c r="B367" i="2"/>
  <c r="A367" i="2"/>
  <c r="C366" i="2"/>
  <c r="B366" i="2"/>
  <c r="A366" i="2"/>
  <c r="C365" i="2"/>
  <c r="B365" i="2"/>
  <c r="A365" i="2"/>
  <c r="C364" i="2"/>
  <c r="B364" i="2"/>
  <c r="A364" i="2"/>
  <c r="C363" i="2"/>
  <c r="B363" i="2"/>
  <c r="A363" i="2"/>
  <c r="C362" i="2"/>
  <c r="B362" i="2"/>
  <c r="A362" i="2"/>
  <c r="C361" i="2"/>
  <c r="B361" i="2"/>
  <c r="A361" i="2"/>
  <c r="C360" i="2"/>
  <c r="B360" i="2"/>
  <c r="A360" i="2"/>
  <c r="C359" i="2"/>
  <c r="B359" i="2"/>
  <c r="A359" i="2"/>
  <c r="C358" i="2"/>
  <c r="B358" i="2"/>
  <c r="A358" i="2"/>
  <c r="C357" i="2"/>
  <c r="B357" i="2"/>
  <c r="A357" i="2"/>
  <c r="C356" i="2"/>
  <c r="B356" i="2"/>
  <c r="A356" i="2"/>
  <c r="C355" i="2"/>
  <c r="B355" i="2"/>
  <c r="A355" i="2"/>
  <c r="C354" i="2"/>
  <c r="B354" i="2"/>
  <c r="A354" i="2"/>
  <c r="C353" i="2"/>
  <c r="B353" i="2"/>
  <c r="A353" i="2"/>
  <c r="C352" i="2"/>
  <c r="B352" i="2"/>
  <c r="A352" i="2"/>
  <c r="C351" i="2"/>
  <c r="B351" i="2"/>
  <c r="A351" i="2"/>
  <c r="C350" i="2"/>
  <c r="B350" i="2"/>
  <c r="A350" i="2"/>
  <c r="C349" i="2"/>
  <c r="B349" i="2"/>
  <c r="A349" i="2"/>
  <c r="C348" i="2"/>
  <c r="B348" i="2"/>
  <c r="A348" i="2"/>
  <c r="C347" i="2"/>
  <c r="B347" i="2"/>
  <c r="A347" i="2"/>
  <c r="C346" i="2"/>
  <c r="B346" i="2"/>
  <c r="A346" i="2"/>
  <c r="C345" i="2"/>
  <c r="B345" i="2"/>
  <c r="A345" i="2"/>
  <c r="C344" i="2"/>
  <c r="B344" i="2"/>
  <c r="A344" i="2"/>
  <c r="C343" i="2"/>
  <c r="B343" i="2"/>
  <c r="A343" i="2"/>
  <c r="C342" i="2"/>
  <c r="B342" i="2"/>
  <c r="A342" i="2"/>
  <c r="C341" i="2"/>
  <c r="B341" i="2"/>
  <c r="A341" i="2"/>
  <c r="C340" i="2"/>
  <c r="B340" i="2"/>
  <c r="A340" i="2"/>
  <c r="C339" i="2"/>
  <c r="B339" i="2"/>
  <c r="A339" i="2"/>
  <c r="C338" i="2"/>
  <c r="B338" i="2"/>
  <c r="A338" i="2"/>
  <c r="C337" i="2"/>
  <c r="B337" i="2"/>
  <c r="A337" i="2"/>
  <c r="C336" i="2"/>
  <c r="B336" i="2"/>
  <c r="A336" i="2"/>
  <c r="C335" i="2"/>
  <c r="B335" i="2"/>
  <c r="A335" i="2"/>
  <c r="C334" i="2"/>
  <c r="B334" i="2"/>
  <c r="A334" i="2"/>
  <c r="C333" i="2"/>
  <c r="B333" i="2"/>
  <c r="A333" i="2"/>
  <c r="C332" i="2"/>
  <c r="B332" i="2"/>
  <c r="A332" i="2"/>
  <c r="C331" i="2"/>
  <c r="B331" i="2"/>
  <c r="A331" i="2"/>
  <c r="C330" i="2"/>
  <c r="B330" i="2"/>
  <c r="A330" i="2"/>
  <c r="C329" i="2"/>
  <c r="B329" i="2"/>
  <c r="A329" i="2"/>
  <c r="C328" i="2"/>
  <c r="B328" i="2"/>
  <c r="A328" i="2"/>
  <c r="C327" i="2"/>
  <c r="B327" i="2"/>
  <c r="A327" i="2"/>
  <c r="C326" i="2"/>
  <c r="B326" i="2"/>
  <c r="A326" i="2"/>
  <c r="C325" i="2"/>
  <c r="B325" i="2"/>
  <c r="A325" i="2"/>
  <c r="C324" i="2"/>
  <c r="B324" i="2"/>
  <c r="A324" i="2"/>
  <c r="C323" i="2"/>
  <c r="B323" i="2"/>
  <c r="A323" i="2"/>
  <c r="C322" i="2"/>
  <c r="B322" i="2"/>
  <c r="A322" i="2"/>
  <c r="C321" i="2"/>
  <c r="B321" i="2"/>
  <c r="A321" i="2"/>
  <c r="C320" i="2"/>
  <c r="B320" i="2"/>
  <c r="A320" i="2"/>
  <c r="C319" i="2"/>
  <c r="B319" i="2"/>
  <c r="A319" i="2"/>
  <c r="C318" i="2"/>
  <c r="B318" i="2"/>
  <c r="A318" i="2"/>
  <c r="C317" i="2"/>
  <c r="B317" i="2"/>
  <c r="A317" i="2"/>
  <c r="C316" i="2"/>
  <c r="B316" i="2"/>
  <c r="A316" i="2"/>
  <c r="C315" i="2"/>
  <c r="B315" i="2"/>
  <c r="A315" i="2"/>
  <c r="C314" i="2"/>
  <c r="B314" i="2"/>
  <c r="A314" i="2"/>
  <c r="C313" i="2"/>
  <c r="B313" i="2"/>
  <c r="A313" i="2"/>
  <c r="C312" i="2"/>
  <c r="B312" i="2"/>
  <c r="A312" i="2"/>
  <c r="C311" i="2"/>
  <c r="B311" i="2"/>
  <c r="A311" i="2"/>
  <c r="C310" i="2"/>
  <c r="B310" i="2"/>
  <c r="A310" i="2"/>
  <c r="C309" i="2"/>
  <c r="B309" i="2"/>
  <c r="A309" i="2"/>
  <c r="C308" i="2"/>
  <c r="B308" i="2"/>
  <c r="A308" i="2"/>
  <c r="C307" i="2"/>
  <c r="B307" i="2"/>
  <c r="A307" i="2"/>
  <c r="C306" i="2"/>
  <c r="B306" i="2"/>
  <c r="A306" i="2"/>
  <c r="C305" i="2"/>
  <c r="B305" i="2"/>
  <c r="A305" i="2"/>
  <c r="C304" i="2"/>
  <c r="B304" i="2"/>
  <c r="A304" i="2"/>
  <c r="C303" i="2"/>
  <c r="B303" i="2"/>
  <c r="A303" i="2"/>
  <c r="C302" i="2"/>
  <c r="B302" i="2"/>
  <c r="A302" i="2"/>
  <c r="C301" i="2"/>
  <c r="B301" i="2"/>
  <c r="A301" i="2"/>
  <c r="C300" i="2"/>
  <c r="B300" i="2"/>
  <c r="A300" i="2"/>
  <c r="C299" i="2"/>
  <c r="B299" i="2"/>
  <c r="A299" i="2"/>
  <c r="C298" i="2"/>
  <c r="B298" i="2"/>
  <c r="A298" i="2"/>
  <c r="C297" i="2"/>
  <c r="B297" i="2"/>
  <c r="A297" i="2"/>
  <c r="C296" i="2"/>
  <c r="B296" i="2"/>
  <c r="A296" i="2"/>
  <c r="C295" i="2"/>
  <c r="B295" i="2"/>
  <c r="A295" i="2"/>
  <c r="C294" i="2"/>
  <c r="B294" i="2"/>
  <c r="A294" i="2"/>
  <c r="C293" i="2"/>
  <c r="B293" i="2"/>
  <c r="A293" i="2"/>
  <c r="C292" i="2"/>
  <c r="B292" i="2"/>
  <c r="A292" i="2"/>
  <c r="C291" i="2"/>
  <c r="B291" i="2"/>
  <c r="A291" i="2"/>
  <c r="C290" i="2"/>
  <c r="B290" i="2"/>
  <c r="A290" i="2"/>
  <c r="C289" i="2"/>
  <c r="B289" i="2"/>
  <c r="A289" i="2"/>
  <c r="C288" i="2"/>
  <c r="B288" i="2"/>
  <c r="A288" i="2"/>
  <c r="C287" i="2"/>
  <c r="B287" i="2"/>
  <c r="A287" i="2"/>
  <c r="C286" i="2"/>
  <c r="B286" i="2"/>
  <c r="A286" i="2"/>
  <c r="C285" i="2"/>
  <c r="B285" i="2"/>
  <c r="A285" i="2"/>
  <c r="C284" i="2"/>
  <c r="B284" i="2"/>
  <c r="A284" i="2"/>
  <c r="C283" i="2"/>
  <c r="B283" i="2"/>
  <c r="A283" i="2"/>
  <c r="C282" i="2"/>
  <c r="B282" i="2"/>
  <c r="A282" i="2"/>
  <c r="C281" i="2"/>
  <c r="B281" i="2"/>
  <c r="A281" i="2"/>
  <c r="C280" i="2"/>
  <c r="B280" i="2"/>
  <c r="A280" i="2"/>
  <c r="C279" i="2"/>
  <c r="B279" i="2"/>
  <c r="A279" i="2"/>
  <c r="C278" i="2"/>
  <c r="B278" i="2"/>
  <c r="A278" i="2"/>
  <c r="C277" i="2"/>
  <c r="B277" i="2"/>
  <c r="A277" i="2"/>
  <c r="C276" i="2"/>
  <c r="B276" i="2"/>
  <c r="A276" i="2"/>
  <c r="C275" i="2"/>
  <c r="B275" i="2"/>
  <c r="A275" i="2"/>
  <c r="C274" i="2"/>
  <c r="B274" i="2"/>
  <c r="A274" i="2"/>
  <c r="C273" i="2"/>
  <c r="B273" i="2"/>
  <c r="A273" i="2"/>
  <c r="C272" i="2"/>
  <c r="B272" i="2"/>
  <c r="A272" i="2"/>
  <c r="C271" i="2"/>
  <c r="B271" i="2"/>
  <c r="A271" i="2"/>
  <c r="C270" i="2"/>
  <c r="B270" i="2"/>
  <c r="A270" i="2"/>
  <c r="C269" i="2"/>
  <c r="B269" i="2"/>
  <c r="A269" i="2"/>
  <c r="C268" i="2"/>
  <c r="B268" i="2"/>
  <c r="A268" i="2"/>
  <c r="C267" i="2"/>
  <c r="B267" i="2"/>
  <c r="A267" i="2"/>
  <c r="C266" i="2"/>
  <c r="B266" i="2"/>
  <c r="A266" i="2"/>
  <c r="C265" i="2"/>
  <c r="B265" i="2"/>
  <c r="A265" i="2"/>
  <c r="C264" i="2"/>
  <c r="B264" i="2"/>
  <c r="A264" i="2"/>
  <c r="C263" i="2"/>
  <c r="B263" i="2"/>
  <c r="A263" i="2"/>
  <c r="C262" i="2"/>
  <c r="B262" i="2"/>
  <c r="A262" i="2"/>
  <c r="C261" i="2"/>
  <c r="B261" i="2"/>
  <c r="A261" i="2"/>
  <c r="C260" i="2"/>
  <c r="B260" i="2"/>
  <c r="A260" i="2"/>
  <c r="C259" i="2"/>
  <c r="B259" i="2"/>
  <c r="A259" i="2"/>
  <c r="C258" i="2"/>
  <c r="B258" i="2"/>
  <c r="A258" i="2"/>
  <c r="C257" i="2"/>
  <c r="B257" i="2"/>
  <c r="A257" i="2"/>
  <c r="C256" i="2"/>
  <c r="B256" i="2"/>
  <c r="A256" i="2"/>
  <c r="C255" i="2"/>
  <c r="B255" i="2"/>
  <c r="A255" i="2"/>
  <c r="C254" i="2"/>
  <c r="B254" i="2"/>
  <c r="A254" i="2"/>
  <c r="C253" i="2"/>
  <c r="B253" i="2"/>
  <c r="A253" i="2"/>
  <c r="C252" i="2"/>
  <c r="B252" i="2"/>
  <c r="A252" i="2"/>
  <c r="C251" i="2"/>
  <c r="B251" i="2"/>
  <c r="A251" i="2"/>
  <c r="C250" i="2"/>
  <c r="B250" i="2"/>
  <c r="A250" i="2"/>
  <c r="C249" i="2"/>
  <c r="B249" i="2"/>
  <c r="A249" i="2"/>
  <c r="C248" i="2"/>
  <c r="B248" i="2"/>
  <c r="A248" i="2"/>
  <c r="C247" i="2"/>
  <c r="B247" i="2"/>
  <c r="A247" i="2"/>
  <c r="C246" i="2"/>
  <c r="B246" i="2"/>
  <c r="A246" i="2"/>
  <c r="C245" i="2"/>
  <c r="B245" i="2"/>
  <c r="A245" i="2"/>
  <c r="C244" i="2"/>
  <c r="B244" i="2"/>
  <c r="A244" i="2"/>
  <c r="C243" i="2"/>
  <c r="B243" i="2"/>
  <c r="A243" i="2"/>
  <c r="C242" i="2"/>
  <c r="B242" i="2"/>
  <c r="A242" i="2"/>
  <c r="C241" i="2"/>
  <c r="B241" i="2"/>
  <c r="A241" i="2"/>
  <c r="C240" i="2"/>
  <c r="B240" i="2"/>
  <c r="A240" i="2"/>
  <c r="C239" i="2"/>
  <c r="B239" i="2"/>
  <c r="A239" i="2"/>
  <c r="C238" i="2"/>
  <c r="B238" i="2"/>
  <c r="A238" i="2"/>
  <c r="C237" i="2"/>
  <c r="B237" i="2"/>
  <c r="A237" i="2"/>
  <c r="C236" i="2"/>
  <c r="B236" i="2"/>
  <c r="A236" i="2"/>
  <c r="C235" i="2"/>
  <c r="B235" i="2"/>
  <c r="A235" i="2"/>
  <c r="C234" i="2"/>
  <c r="B234" i="2"/>
  <c r="A234" i="2"/>
  <c r="C233" i="2"/>
  <c r="B233" i="2"/>
  <c r="A233" i="2"/>
  <c r="C232" i="2"/>
  <c r="B232" i="2"/>
  <c r="A232" i="2"/>
  <c r="C231" i="2"/>
  <c r="B231" i="2"/>
  <c r="A231" i="2"/>
  <c r="C230" i="2"/>
  <c r="B230" i="2"/>
  <c r="A230" i="2"/>
  <c r="C229" i="2"/>
  <c r="B229" i="2"/>
  <c r="A229" i="2"/>
  <c r="C228" i="2"/>
  <c r="B228" i="2"/>
  <c r="A228" i="2"/>
  <c r="C227" i="2"/>
  <c r="B227" i="2"/>
  <c r="A227" i="2"/>
  <c r="C226" i="2"/>
  <c r="B226" i="2"/>
  <c r="A226" i="2"/>
  <c r="C225" i="2"/>
  <c r="B225" i="2"/>
  <c r="A225" i="2"/>
  <c r="C224" i="2"/>
  <c r="B224" i="2"/>
  <c r="A224" i="2"/>
  <c r="C223" i="2"/>
  <c r="B223" i="2"/>
  <c r="A223" i="2"/>
  <c r="C222" i="2"/>
  <c r="B222" i="2"/>
  <c r="A222" i="2"/>
  <c r="C221" i="2"/>
  <c r="B221" i="2"/>
  <c r="A221" i="2"/>
  <c r="C220" i="2"/>
  <c r="B220" i="2"/>
  <c r="A220" i="2"/>
  <c r="C219" i="2"/>
  <c r="B219" i="2"/>
  <c r="A219" i="2"/>
  <c r="C218" i="2"/>
  <c r="B218" i="2"/>
  <c r="A218" i="2"/>
  <c r="C217" i="2"/>
  <c r="B217" i="2"/>
  <c r="A217" i="2"/>
  <c r="C216" i="2"/>
  <c r="B216" i="2"/>
  <c r="A216" i="2"/>
  <c r="C215" i="2"/>
  <c r="B215" i="2"/>
  <c r="A215" i="2"/>
  <c r="C214" i="2"/>
  <c r="B214" i="2"/>
  <c r="A214" i="2"/>
  <c r="C213" i="2"/>
  <c r="B213" i="2"/>
  <c r="A213" i="2"/>
  <c r="C212" i="2"/>
  <c r="B212" i="2"/>
  <c r="A212" i="2"/>
  <c r="C211" i="2"/>
  <c r="B211" i="2"/>
  <c r="A211" i="2"/>
  <c r="C210" i="2"/>
  <c r="B210" i="2"/>
  <c r="A210" i="2"/>
  <c r="C209" i="2"/>
  <c r="B209" i="2"/>
  <c r="A209" i="2"/>
  <c r="C208" i="2"/>
  <c r="B208" i="2"/>
  <c r="A208" i="2"/>
  <c r="C207" i="2"/>
  <c r="B207" i="2"/>
  <c r="A207" i="2"/>
  <c r="C206" i="2"/>
  <c r="B206" i="2"/>
  <c r="A206" i="2"/>
  <c r="C205" i="2"/>
  <c r="B205" i="2"/>
  <c r="A205" i="2"/>
  <c r="C204" i="2"/>
  <c r="B204" i="2"/>
  <c r="A204" i="2"/>
  <c r="C203" i="2"/>
  <c r="B203" i="2"/>
  <c r="A203" i="2"/>
  <c r="C202" i="2"/>
  <c r="B202" i="2"/>
  <c r="A202" i="2"/>
  <c r="C201" i="2"/>
  <c r="B201" i="2"/>
  <c r="A201" i="2"/>
  <c r="C200" i="2"/>
  <c r="B200" i="2"/>
  <c r="A200" i="2"/>
  <c r="C199" i="2"/>
  <c r="B199" i="2"/>
  <c r="A199" i="2"/>
  <c r="C198" i="2"/>
  <c r="B198" i="2"/>
  <c r="A198" i="2"/>
  <c r="C197" i="2"/>
  <c r="B197" i="2"/>
  <c r="A197" i="2"/>
  <c r="C196" i="2"/>
  <c r="B196" i="2"/>
  <c r="A196" i="2"/>
  <c r="C195" i="2"/>
  <c r="B195" i="2"/>
  <c r="A195" i="2"/>
  <c r="C194" i="2"/>
  <c r="B194" i="2"/>
  <c r="A194" i="2"/>
  <c r="C193" i="2"/>
  <c r="B193" i="2"/>
  <c r="A193" i="2"/>
  <c r="C192" i="2"/>
  <c r="B192" i="2"/>
  <c r="A192" i="2"/>
  <c r="C191" i="2"/>
  <c r="B191" i="2"/>
  <c r="A191" i="2"/>
  <c r="C190" i="2"/>
  <c r="B190" i="2"/>
  <c r="A190" i="2"/>
  <c r="C189" i="2"/>
  <c r="B189" i="2"/>
  <c r="A189" i="2"/>
  <c r="C188" i="2"/>
  <c r="B188" i="2"/>
  <c r="A188" i="2"/>
  <c r="C187" i="2"/>
  <c r="B187" i="2"/>
  <c r="A187" i="2"/>
  <c r="C186" i="2"/>
  <c r="B186" i="2"/>
  <c r="A186" i="2"/>
  <c r="C185" i="2"/>
  <c r="B185" i="2"/>
  <c r="A185" i="2"/>
  <c r="C184" i="2"/>
  <c r="B184" i="2"/>
  <c r="A184" i="2"/>
  <c r="C183" i="2"/>
  <c r="B183" i="2"/>
  <c r="A183" i="2"/>
  <c r="C182" i="2"/>
  <c r="B182" i="2"/>
  <c r="A182" i="2"/>
  <c r="C181" i="2"/>
  <c r="B181" i="2"/>
  <c r="A181" i="2"/>
  <c r="C180" i="2"/>
  <c r="B180" i="2"/>
  <c r="A180" i="2"/>
  <c r="C179" i="2"/>
  <c r="B179" i="2"/>
  <c r="A179" i="2"/>
  <c r="C178" i="2"/>
  <c r="B178" i="2"/>
  <c r="A178" i="2"/>
  <c r="C177" i="2"/>
  <c r="B177" i="2"/>
  <c r="A177" i="2"/>
  <c r="C176" i="2"/>
  <c r="B176" i="2"/>
  <c r="A176" i="2"/>
  <c r="C175" i="2"/>
  <c r="B175" i="2"/>
  <c r="A175" i="2"/>
  <c r="C174" i="2"/>
  <c r="B174" i="2"/>
  <c r="A174" i="2"/>
  <c r="C173" i="2"/>
  <c r="B173" i="2"/>
  <c r="A173" i="2"/>
  <c r="C172" i="2"/>
  <c r="B172" i="2"/>
  <c r="A172" i="2"/>
  <c r="C171" i="2"/>
  <c r="B171" i="2"/>
  <c r="A171" i="2"/>
  <c r="C170" i="2"/>
  <c r="B170" i="2"/>
  <c r="A170" i="2"/>
  <c r="C169" i="2"/>
  <c r="B169" i="2"/>
  <c r="A169" i="2"/>
  <c r="C168" i="2"/>
  <c r="B168" i="2"/>
  <c r="A168" i="2"/>
  <c r="C167" i="2"/>
  <c r="B167" i="2"/>
  <c r="A167" i="2"/>
  <c r="C166" i="2"/>
  <c r="B166" i="2"/>
  <c r="A166" i="2"/>
  <c r="C165" i="2"/>
  <c r="B165" i="2"/>
  <c r="A165" i="2"/>
  <c r="C164" i="2"/>
  <c r="B164" i="2"/>
  <c r="A164" i="2"/>
  <c r="C163" i="2"/>
  <c r="B163" i="2"/>
  <c r="A163" i="2"/>
  <c r="C162" i="2"/>
  <c r="B162" i="2"/>
  <c r="A162" i="2"/>
  <c r="C161" i="2"/>
  <c r="B161" i="2"/>
  <c r="A161" i="2"/>
  <c r="C160" i="2"/>
  <c r="B160" i="2"/>
  <c r="A160" i="2"/>
  <c r="C159" i="2"/>
  <c r="B159" i="2"/>
  <c r="A159" i="2"/>
  <c r="C158" i="2"/>
  <c r="B158" i="2"/>
  <c r="A158" i="2"/>
  <c r="C157" i="2"/>
  <c r="B157" i="2"/>
  <c r="A157" i="2"/>
  <c r="C156" i="2"/>
  <c r="B156" i="2"/>
  <c r="A156" i="2"/>
  <c r="C155" i="2"/>
  <c r="B155" i="2"/>
  <c r="A155" i="2"/>
  <c r="C154" i="2"/>
  <c r="B154" i="2"/>
  <c r="A154" i="2"/>
  <c r="C153" i="2"/>
  <c r="B153" i="2"/>
  <c r="A153" i="2"/>
  <c r="C152" i="2"/>
  <c r="B152" i="2"/>
  <c r="A152" i="2"/>
  <c r="C151" i="2"/>
  <c r="B151" i="2"/>
  <c r="A151" i="2"/>
  <c r="C150" i="2"/>
  <c r="B150" i="2"/>
  <c r="A150" i="2"/>
  <c r="C149" i="2"/>
  <c r="B149" i="2"/>
  <c r="A149" i="2"/>
  <c r="C148" i="2"/>
  <c r="B148" i="2"/>
  <c r="A148" i="2"/>
  <c r="C147" i="2"/>
  <c r="B147" i="2"/>
  <c r="A147" i="2"/>
  <c r="C146" i="2"/>
  <c r="B146" i="2"/>
  <c r="A146" i="2"/>
  <c r="C145" i="2"/>
  <c r="B145" i="2"/>
  <c r="A145" i="2"/>
  <c r="C144" i="2"/>
  <c r="B144" i="2"/>
  <c r="A144" i="2"/>
  <c r="C143" i="2"/>
  <c r="B143" i="2"/>
  <c r="A143" i="2"/>
  <c r="C142" i="2"/>
  <c r="B142" i="2"/>
  <c r="A142" i="2"/>
  <c r="C141" i="2"/>
  <c r="B141" i="2"/>
  <c r="A141" i="2"/>
  <c r="C140" i="2"/>
  <c r="B140" i="2"/>
  <c r="A140" i="2"/>
  <c r="C139" i="2"/>
  <c r="B139" i="2"/>
  <c r="A139" i="2"/>
  <c r="C138" i="2"/>
  <c r="B138" i="2"/>
  <c r="A138" i="2"/>
  <c r="C137" i="2"/>
  <c r="B137" i="2"/>
  <c r="A137" i="2"/>
  <c r="C136" i="2"/>
  <c r="B136" i="2"/>
  <c r="A136" i="2"/>
  <c r="C135" i="2"/>
  <c r="B135" i="2"/>
  <c r="A135" i="2"/>
  <c r="C134" i="2"/>
  <c r="B134" i="2"/>
  <c r="A134" i="2"/>
  <c r="C133" i="2"/>
  <c r="B133" i="2"/>
  <c r="A133" i="2"/>
  <c r="C132" i="2"/>
  <c r="B132" i="2"/>
  <c r="A132" i="2"/>
  <c r="C131" i="2"/>
  <c r="B131" i="2"/>
  <c r="A131" i="2"/>
  <c r="C130" i="2"/>
  <c r="B130" i="2"/>
  <c r="A130" i="2"/>
  <c r="C129" i="2"/>
  <c r="B129" i="2"/>
  <c r="A129" i="2"/>
  <c r="C128" i="2"/>
  <c r="B128" i="2"/>
  <c r="A128" i="2"/>
  <c r="C127" i="2"/>
  <c r="B127" i="2"/>
  <c r="A127" i="2"/>
  <c r="C126" i="2"/>
  <c r="B126" i="2"/>
  <c r="A126" i="2"/>
  <c r="C125" i="2"/>
  <c r="B125" i="2"/>
  <c r="A125" i="2"/>
  <c r="C124" i="2"/>
  <c r="B124" i="2"/>
  <c r="A124" i="2"/>
  <c r="C123" i="2"/>
  <c r="B123" i="2"/>
  <c r="A123" i="2"/>
  <c r="C122" i="2"/>
  <c r="B122" i="2"/>
  <c r="A122" i="2"/>
  <c r="C121" i="2"/>
  <c r="B121" i="2"/>
  <c r="A121" i="2"/>
  <c r="C120" i="2"/>
  <c r="B120" i="2"/>
  <c r="A120" i="2"/>
  <c r="C119" i="2"/>
  <c r="B119" i="2"/>
  <c r="A119" i="2"/>
  <c r="C118" i="2"/>
  <c r="B118" i="2"/>
  <c r="A118" i="2"/>
  <c r="C117" i="2"/>
  <c r="B117" i="2"/>
  <c r="A117" i="2"/>
  <c r="C116" i="2"/>
  <c r="B116" i="2"/>
  <c r="A116" i="2"/>
  <c r="C115" i="2"/>
  <c r="B115" i="2"/>
  <c r="A115" i="2"/>
  <c r="C114" i="2"/>
  <c r="B114" i="2"/>
  <c r="A114" i="2"/>
  <c r="C113" i="2"/>
  <c r="B113" i="2"/>
  <c r="A113" i="2"/>
  <c r="C112" i="2"/>
  <c r="B112" i="2"/>
  <c r="A112" i="2"/>
  <c r="C111" i="2"/>
  <c r="B111" i="2"/>
  <c r="A111" i="2"/>
  <c r="C110" i="2"/>
  <c r="B110" i="2"/>
  <c r="A110" i="2"/>
  <c r="C109" i="2"/>
  <c r="B109" i="2"/>
  <c r="A109" i="2"/>
  <c r="C108" i="2"/>
  <c r="B108" i="2"/>
  <c r="A108" i="2"/>
  <c r="C107" i="2"/>
  <c r="B107" i="2"/>
  <c r="A107" i="2"/>
  <c r="C106" i="2"/>
  <c r="B106" i="2"/>
  <c r="A106" i="2"/>
  <c r="C105" i="2"/>
  <c r="B105" i="2"/>
  <c r="A105" i="2"/>
  <c r="C104" i="2"/>
  <c r="B104" i="2"/>
  <c r="A104" i="2"/>
  <c r="C103" i="2"/>
  <c r="B103" i="2"/>
  <c r="A103" i="2"/>
  <c r="C102" i="2"/>
  <c r="B102" i="2"/>
  <c r="A102" i="2"/>
  <c r="C101" i="2"/>
  <c r="B101" i="2"/>
  <c r="A101" i="2"/>
  <c r="C100" i="2"/>
  <c r="B100" i="2"/>
  <c r="A100" i="2"/>
  <c r="C99" i="2"/>
  <c r="B99" i="2"/>
  <c r="A99" i="2"/>
  <c r="C98" i="2"/>
  <c r="B98" i="2"/>
  <c r="A98" i="2"/>
  <c r="C97" i="2"/>
  <c r="B97" i="2"/>
  <c r="A97" i="2"/>
  <c r="C96" i="2"/>
  <c r="B96" i="2"/>
  <c r="A96" i="2"/>
  <c r="C95" i="2"/>
  <c r="B95" i="2"/>
  <c r="A95" i="2"/>
  <c r="C94" i="2"/>
  <c r="B94" i="2"/>
  <c r="A94" i="2"/>
  <c r="C93" i="2"/>
  <c r="B93" i="2"/>
  <c r="A93" i="2"/>
  <c r="C92" i="2"/>
  <c r="B92" i="2"/>
  <c r="A92" i="2"/>
  <c r="C91" i="2"/>
  <c r="B91" i="2"/>
  <c r="A91" i="2"/>
  <c r="C90" i="2"/>
  <c r="B90" i="2"/>
  <c r="A90" i="2"/>
  <c r="C89" i="2"/>
  <c r="B89" i="2"/>
  <c r="A89" i="2"/>
  <c r="C88" i="2"/>
  <c r="B88" i="2"/>
  <c r="A88" i="2"/>
  <c r="C87" i="2"/>
  <c r="B87" i="2"/>
  <c r="A87" i="2"/>
  <c r="C86" i="2"/>
  <c r="B86" i="2"/>
  <c r="A86" i="2"/>
  <c r="C85" i="2"/>
  <c r="B85" i="2"/>
  <c r="A85" i="2"/>
  <c r="C84" i="2"/>
  <c r="B84" i="2"/>
  <c r="A84" i="2"/>
  <c r="C83" i="2"/>
  <c r="B83" i="2"/>
  <c r="A83" i="2"/>
  <c r="C82" i="2"/>
  <c r="B82" i="2"/>
  <c r="A82" i="2"/>
  <c r="C81" i="2"/>
  <c r="B81" i="2"/>
  <c r="A81" i="2"/>
  <c r="C80" i="2"/>
  <c r="B80" i="2"/>
  <c r="A80" i="2"/>
  <c r="C79" i="2"/>
  <c r="B79" i="2"/>
  <c r="A79" i="2"/>
  <c r="C78" i="2"/>
  <c r="B78" i="2"/>
  <c r="A78" i="2"/>
  <c r="C77" i="2"/>
  <c r="B77" i="2"/>
  <c r="A77" i="2"/>
  <c r="C76" i="2"/>
  <c r="B76" i="2"/>
  <c r="A76" i="2"/>
  <c r="C75" i="2"/>
  <c r="B75" i="2"/>
  <c r="A75" i="2"/>
  <c r="C74" i="2"/>
  <c r="B74" i="2"/>
  <c r="A74" i="2"/>
  <c r="C73" i="2"/>
  <c r="B73" i="2"/>
  <c r="A73" i="2"/>
  <c r="C72" i="2"/>
  <c r="B72" i="2"/>
  <c r="A72" i="2"/>
  <c r="C71" i="2"/>
  <c r="B71" i="2"/>
  <c r="A71" i="2"/>
  <c r="C70" i="2"/>
  <c r="B70" i="2"/>
  <c r="A70" i="2"/>
  <c r="C69" i="2"/>
  <c r="B69" i="2"/>
  <c r="A69" i="2"/>
  <c r="C68" i="2"/>
  <c r="B68" i="2"/>
  <c r="A68" i="2"/>
  <c r="C67" i="2"/>
  <c r="A67" i="2"/>
  <c r="C66" i="2"/>
  <c r="B66" i="2"/>
  <c r="A66" i="2"/>
  <c r="C65" i="2"/>
  <c r="B65" i="2"/>
  <c r="A65" i="2"/>
  <c r="C64" i="2"/>
  <c r="B64" i="2"/>
  <c r="A64" i="2"/>
  <c r="C63" i="2"/>
  <c r="B63" i="2"/>
  <c r="A63" i="2"/>
  <c r="C62" i="2"/>
  <c r="B62" i="2"/>
  <c r="A62" i="2"/>
  <c r="C61" i="2"/>
  <c r="B61" i="2"/>
  <c r="A61" i="2"/>
  <c r="C60" i="2"/>
  <c r="B60" i="2"/>
  <c r="A60" i="2"/>
  <c r="C59" i="2"/>
  <c r="B59" i="2"/>
  <c r="A59" i="2"/>
  <c r="C58" i="2"/>
  <c r="B58" i="2"/>
  <c r="A58" i="2"/>
  <c r="C57" i="2"/>
  <c r="B57" i="2"/>
  <c r="A57" i="2"/>
  <c r="C56" i="2"/>
  <c r="B56" i="2"/>
  <c r="A56" i="2"/>
  <c r="C55" i="2"/>
  <c r="B55" i="2"/>
  <c r="A55" i="2"/>
  <c r="C54" i="2"/>
  <c r="B54" i="2"/>
  <c r="A54" i="2"/>
  <c r="C53" i="2"/>
  <c r="B53" i="2"/>
  <c r="A53" i="2"/>
  <c r="C52" i="2"/>
  <c r="B52" i="2"/>
  <c r="A52" i="2"/>
  <c r="C51" i="2"/>
  <c r="B51" i="2"/>
  <c r="A51" i="2"/>
  <c r="C50" i="2"/>
  <c r="B50" i="2"/>
  <c r="A50" i="2"/>
  <c r="C49" i="2"/>
  <c r="B49" i="2"/>
  <c r="A49" i="2"/>
  <c r="C48" i="2"/>
  <c r="B48" i="2"/>
  <c r="A48" i="2"/>
  <c r="C47" i="2"/>
  <c r="B47" i="2"/>
  <c r="A47" i="2"/>
  <c r="C46" i="2"/>
  <c r="B46" i="2"/>
  <c r="A46" i="2"/>
  <c r="C45" i="2"/>
  <c r="B45" i="2"/>
  <c r="A45" i="2"/>
  <c r="C44" i="2"/>
  <c r="B44" i="2"/>
  <c r="A44" i="2"/>
  <c r="C43" i="2"/>
  <c r="B43" i="2"/>
  <c r="A43" i="2"/>
  <c r="C42" i="2"/>
  <c r="B42" i="2"/>
  <c r="A42" i="2"/>
  <c r="C41" i="2"/>
  <c r="B41" i="2"/>
  <c r="A41" i="2"/>
  <c r="C40" i="2"/>
  <c r="B40" i="2"/>
  <c r="A40" i="2"/>
  <c r="C39" i="2"/>
  <c r="A39" i="2"/>
  <c r="C38" i="2"/>
  <c r="B38" i="2"/>
  <c r="A38" i="2"/>
  <c r="C37" i="2"/>
  <c r="B37" i="2"/>
  <c r="A37" i="2"/>
  <c r="C36" i="2"/>
  <c r="B36" i="2"/>
  <c r="A36" i="2"/>
  <c r="C35" i="2"/>
  <c r="B35" i="2"/>
  <c r="A35" i="2"/>
  <c r="C34" i="2"/>
  <c r="B34" i="2"/>
  <c r="A34" i="2"/>
  <c r="C33" i="2"/>
  <c r="B33" i="2"/>
  <c r="A33" i="2"/>
  <c r="C32" i="2"/>
  <c r="B32" i="2"/>
  <c r="A32" i="2"/>
  <c r="C31" i="2"/>
  <c r="B31" i="2"/>
  <c r="A31" i="2"/>
  <c r="C30" i="2"/>
  <c r="B30" i="2"/>
  <c r="A30" i="2"/>
  <c r="C29" i="2"/>
  <c r="B29" i="2"/>
  <c r="A29" i="2"/>
  <c r="C28" i="2"/>
  <c r="B28" i="2"/>
  <c r="A28" i="2"/>
  <c r="C27" i="2"/>
  <c r="B27" i="2"/>
  <c r="A27" i="2"/>
  <c r="C26" i="2"/>
  <c r="B26" i="2"/>
  <c r="A26" i="2"/>
  <c r="C25" i="2"/>
  <c r="B25" i="2"/>
  <c r="A25" i="2"/>
  <c r="C24" i="2"/>
  <c r="B24" i="2"/>
  <c r="A24" i="2"/>
  <c r="C23" i="2"/>
  <c r="B23" i="2"/>
  <c r="A23" i="2"/>
  <c r="C22" i="2"/>
  <c r="B22" i="2"/>
  <c r="A22" i="2"/>
  <c r="C21" i="2"/>
  <c r="B21" i="2"/>
  <c r="A21" i="2"/>
  <c r="C20" i="2"/>
  <c r="B20" i="2"/>
  <c r="A20" i="2"/>
  <c r="C19" i="2"/>
  <c r="B19" i="2"/>
  <c r="A19" i="2"/>
  <c r="C18" i="2"/>
  <c r="B18" i="2"/>
  <c r="A18" i="2"/>
  <c r="C17" i="2"/>
  <c r="B17" i="2"/>
  <c r="A17" i="2"/>
  <c r="C16" i="2"/>
  <c r="B16" i="2"/>
  <c r="A16" i="2"/>
  <c r="C15" i="2"/>
  <c r="B15" i="2"/>
  <c r="A15" i="2"/>
  <c r="C14" i="2"/>
  <c r="B14" i="2"/>
  <c r="A14" i="2"/>
  <c r="C13" i="2"/>
  <c r="B13" i="2"/>
  <c r="A13" i="2"/>
  <c r="C12" i="2"/>
  <c r="B12" i="2"/>
  <c r="A12" i="2"/>
  <c r="C11" i="2"/>
  <c r="B11" i="2"/>
  <c r="A11" i="2"/>
  <c r="C10" i="2"/>
  <c r="B10" i="2"/>
  <c r="A10" i="2"/>
  <c r="C9" i="2"/>
  <c r="B9" i="2"/>
  <c r="A9" i="2"/>
  <c r="C8" i="2"/>
  <c r="B8" i="2"/>
  <c r="A8" i="2"/>
  <c r="C7" i="2"/>
  <c r="B7" i="2"/>
  <c r="A7" i="2"/>
  <c r="C6" i="2"/>
  <c r="B6" i="2"/>
  <c r="A6" i="2"/>
  <c r="C5" i="2"/>
  <c r="B5" i="2"/>
  <c r="A5" i="2"/>
  <c r="C4" i="2"/>
  <c r="B4" i="2"/>
  <c r="A4" i="2"/>
  <c r="C3" i="2"/>
  <c r="B3" i="2"/>
  <c r="A3" i="2"/>
  <c r="C2" i="2"/>
  <c r="B2" i="2"/>
  <c r="A2" i="2"/>
  <c r="C1" i="2"/>
  <c r="B1" i="2"/>
</calcChain>
</file>

<file path=xl/sharedStrings.xml><?xml version="1.0" encoding="utf-8"?>
<sst xmlns="http://schemas.openxmlformats.org/spreadsheetml/2006/main" count="1" uniqueCount="1">
  <si>
    <t>Наименование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</si>
</sst>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rgb="FF000000"/>
      <name val="Arial"/>
      <scheme val="minor"/>
    </font>
    <font>
      <b/>
      <sz val="10"/>
      <color theme="1"/>
      <name val="Calibri"/>
    </font>
    <font>
      <sz val="10"/>
      <color theme="1"/>
      <name val="Calibri"/>
    </font>
    <font>
      <sz val="9"/>
      <color theme="1"/>
      <name val="Arial"/>
      <scheme val="minor"/>
    </font>
    <font>
      <sz val="10"/>
      <color theme="1"/>
      <name val="Montserrat"/>
    </font>
    <font>
      <sz val="10"/>
      <color theme="1"/>
      <name val="Calibri"/>
    </font>
  </fonts>
  <fills count="3">
    <fill>
      <patternFill patternType="none"/>
    </fill>
    <fill>
      <patternFill patternType="gray125"/>
    </fill>
    <fill>
      <patternFill patternType="solid">
        <fgColor rgb="FF93C47D"/>
        <bgColor rgb="FF93C47D"/>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applyFont="1" applyAlignment="1"/>
    <xf numFmtId="0" fontId="1" fillId="2" borderId="1" xfId="0" applyFont="1" applyFill="1" applyBorder="1" applyAlignment="1">
      <alignment horizontal="center" vertical="top"/>
    </xf>
    <xf numFmtId="0" fontId="3" fillId="0" borderId="0" xfId="0" applyFont="1"/>
    <xf numFmtId="49"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center" vertical="top"/>
    </xf>
    <xf numFmtId="49" fontId="2" fillId="0" borderId="0" xfId="0" applyNumberFormat="1" applyFont="1" applyAlignment="1">
      <alignment vertical="top" wrapText="1"/>
    </xf>
    <xf numFmtId="0" fontId="2" fillId="0" borderId="0" xfId="0" applyFont="1" applyAlignment="1">
      <alignment horizontal="center" vertical="center" wrapText="1"/>
    </xf>
    <xf numFmtId="2" fontId="3" fillId="0" borderId="0" xfId="0" applyNumberFormat="1" applyFont="1"/>
    <xf numFmtId="0" fontId="4" fillId="0" borderId="0" xfId="0" applyFont="1"/>
    <xf numFmtId="2" fontId="2" fillId="0" borderId="0" xfId="0" applyNumberFormat="1" applyFont="1" applyAlignment="1">
      <alignment horizontal="center" vertical="center" wrapText="1"/>
    </xf>
    <xf numFmtId="0" fontId="2" fillId="0" borderId="0" xfId="0" applyFont="1" applyAlignment="1">
      <alignment vertical="top" wrapText="1"/>
    </xf>
    <xf numFmtId="2" fontId="2" fillId="0" borderId="0" xfId="0" applyNumberFormat="1" applyFont="1" applyAlignment="1">
      <alignment horizontal="center" vertical="center" wrapText="1"/>
    </xf>
    <xf numFmtId="49" fontId="5" fillId="0" borderId="0" xfId="0" applyNumberFormat="1" applyFont="1" applyAlignment="1">
      <alignment vertical="top" wrapText="1"/>
    </xf>
    <xf numFmtId="0" fontId="5" fillId="0" borderId="0" xfId="0" applyFont="1" applyAlignment="1">
      <alignment horizontal="center" vertical="center" wrapText="1"/>
    </xf>
    <xf numFmtId="2" fontId="5" fillId="0" borderId="0" xfId="0" applyNumberFormat="1" applyFont="1" applyAlignment="1">
      <alignment horizontal="center" vertical="center" wrapText="1"/>
    </xf>
    <xf numFmtId="0" fontId="5" fillId="0" borderId="0" xfId="0" applyFont="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2034"/>
  <sheetViews>
    <sheetView tabSelected="1" workbookViewId="0"/>
  </sheetViews>
  <sheetFormatPr defaultColWidth="12.5703125" defaultRowHeight="15.75" customHeight="1"/>
  <cols>
    <col min="1" max="1" width="53.42578125" customWidth="1"/>
    <col min="2" max="2" width="35.5703125" customWidth="1"/>
    <col min="3" max="3" width="8.7109375" customWidth="1"/>
  </cols>
  <sheetData>
    <row r="1" spans="1:5" ht="15.75" customHeight="1">
      <c r="A1" s="3" t="s">
        <v>0</v>
      </c>
      <c r="B1" s="1" t="str">
        <f ca="1">IFERROR(__xludf.DUMMYFUNCTION("""COMPUTED_VALUE"""),"Краткая характеристика")</f>
        <v>Краткая характеристика</v>
      </c>
      <c r="C1" s="4" t="str">
        <f ca="1">IFERROR(__xludf.DUMMYFUNCTION("""COMPUTED_VALUE"""),"Розница")</f>
        <v>Розница</v>
      </c>
      <c r="E1" s="2"/>
    </row>
    <row r="2" spans="1:5" ht="15.75" customHeight="1">
      <c r="A2" s="5" t="str">
        <f ca="1">IFERROR(__xludf.DUMMYFUNCTION("""COMPUTED_VALUE"""),"КГСК-1 IP66 ")</f>
        <v xml:space="preserve">КГСК-1 IP66 </v>
      </c>
      <c r="B2" s="6" t="str">
        <f ca="1">IFERROR(__xludf.DUMMYFUNCTION("""COMPUTED_VALUE"""),"-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f>
        <v>-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v>
      </c>
      <c r="C2" s="7">
        <f ca="1">IFERROR(__xludf.DUMMYFUNCTION("""COMPUTED_VALUE"""),2960)</f>
        <v>2960</v>
      </c>
      <c r="D2" s="2"/>
      <c r="E2" s="8"/>
    </row>
    <row r="3" spans="1:5" ht="15.75" customHeight="1">
      <c r="A3" s="5" t="str">
        <f ca="1">IFERROR(__xludf.DUMMYFUNCTION("""COMPUTED_VALUE"""),"КГСК-2 IP66 ")</f>
        <v xml:space="preserve">КГСК-2 IP66 </v>
      </c>
      <c r="B3" s="6" t="str">
        <f ca="1">IFERROR(__xludf.DUMMYFUNCTION("""COMPUTED_VALUE"""),"-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f>
        <v>-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v>
      </c>
      <c r="C3" s="9">
        <f ca="1">IFERROR(__xludf.DUMMYFUNCTION("""COMPUTED_VALUE"""),6480)</f>
        <v>6480</v>
      </c>
      <c r="D3" s="6"/>
      <c r="E3" s="8"/>
    </row>
    <row r="4" spans="1:5" ht="15.75" customHeight="1">
      <c r="A4" s="5" t="str">
        <f ca="1">IFERROR(__xludf.DUMMYFUNCTION("""COMPUTED_VALUE"""),"КСП-6 АЯКС IP65")</f>
        <v>КСП-6 АЯКС IP65</v>
      </c>
      <c r="B4" s="6" t="str">
        <f ca="1">IFERROR(__xludf.DUMMYFUNCTION("""COMPUTED_VALUE"""),"Клеммная коробка 60х60х30, IP65, 6 винтовых клемм (до 4мм2), 2 кабельных ввода
 ПКВ12х1,5 (под кабель д. 3 - 5,3 мм), габариты")</f>
        <v>Клеммная коробка 60х60х30, IP65, 6 винтовых клемм (до 4мм2), 2 кабельных ввода
 ПКВ12х1,5 (под кабель д. 3 - 5,3 мм), габариты</v>
      </c>
      <c r="C4" s="9">
        <f ca="1">IFERROR(__xludf.DUMMYFUNCTION("""COMPUTED_VALUE"""),580)</f>
        <v>580</v>
      </c>
      <c r="D4" s="6"/>
      <c r="E4" s="8"/>
    </row>
    <row r="5" spans="1:5" ht="15.75" customHeight="1">
      <c r="A5" s="5" t="str">
        <f ca="1">IFERROR(__xludf.DUMMYFUNCTION("""COMPUTED_VALUE"""),"КСП-Т-6 АЯКС IP65")</f>
        <v>КСП-Т-6 АЯКС IP65</v>
      </c>
      <c r="B5" s="6" t="str">
        <f ca="1">IFERROR(__xludf.DUMMYFUNCTION("""COMPUTED_VALUE"""),"Клеммная коробка, 60х60х30, IP65, с датчиком вскрытия корпуса, 6 винтовых клемм (до 4мм2), 2 кабельных ввода
 ПКВ12х1,5 (под кабель д. 3 - 5,3 мм)")</f>
        <v>Клеммная коробка, 60х60х30, IP65, с датчиком вскрытия корпуса, 6 винтовых клемм (до 4мм2), 2 кабельных ввода
 ПКВ12х1,5 (под кабель д. 3 - 5,3 мм)</v>
      </c>
      <c r="C5" s="9">
        <f ca="1">IFERROR(__xludf.DUMMYFUNCTION("""COMPUTED_VALUE"""),880)</f>
        <v>880</v>
      </c>
      <c r="D5" s="6"/>
      <c r="E5" s="8"/>
    </row>
    <row r="6" spans="1:5" ht="15.75" customHeight="1">
      <c r="A6" s="5" t="str">
        <f ca="1">IFERROR(__xludf.DUMMYFUNCTION("""COMPUTED_VALUE"""),"КСП-10 АЯКС IP66")</f>
        <v>КСП-10 АЯКС IP66</v>
      </c>
      <c r="B6" s="6" t="str">
        <f ca="1">IFERROR(__xludf.DUMMYFUNCTION("""COMPUTED_VALUE"""),"Клеммная коробка 120х103х50, IP66,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120х103х50, IP66,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6" s="9">
        <f ca="1">IFERROR(__xludf.DUMMYFUNCTION("""COMPUTED_VALUE"""),1480)</f>
        <v>1480</v>
      </c>
      <c r="D6" s="6"/>
      <c r="E6" s="8"/>
    </row>
    <row r="7" spans="1:5" ht="15.75" customHeight="1">
      <c r="A7" s="5" t="str">
        <f ca="1">IFERROR(__xludf.DUMMYFUNCTION("""COMPUTED_VALUE"""),"КСП-10 АЯКС IP66 Wago")</f>
        <v>КСП-10 АЯКС IP66 Wago</v>
      </c>
      <c r="B7" s="6" t="str">
        <f ca="1">IFERROR(__xludf.DUMMYFUNCTION("""COMPUTED_VALUE"""),"Клеммная коробка 120х103х50, IP66, 10 клемм типа Wago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120х103х50, IP66, 10 клемм типа Wago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7" s="9">
        <f ca="1">IFERROR(__xludf.DUMMYFUNCTION("""COMPUTED_VALUE"""),1880)</f>
        <v>1880</v>
      </c>
      <c r="D7" s="6"/>
      <c r="E7" s="8"/>
    </row>
    <row r="8" spans="1:5" ht="15.75" customHeight="1">
      <c r="A8" s="5" t="str">
        <f ca="1">IFERROR(__xludf.DUMMYFUNCTION("""COMPUTED_VALUE"""),"КСП-10 АЯКС IP66 (10мм2)")</f>
        <v>КСП-10 АЯКС IP66 (10мм2)</v>
      </c>
      <c r="B8" s="6" t="str">
        <f ca="1">IFERROR(__xludf.DUMMYFUNCTION("""COMPUTED_VALUE"""),"Клеммная коробка 120х103х50, IP66, 10 винтовых клемм (до 10мм2),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120х103х50, IP66, 10 винтовых клемм (до 10мм2),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8" s="9">
        <f ca="1">IFERROR(__xludf.DUMMYFUNCTION("""COMPUTED_VALUE"""),1920)</f>
        <v>1920</v>
      </c>
      <c r="D8" s="6"/>
      <c r="E8" s="8"/>
    </row>
    <row r="9" spans="1:5" ht="15.75" customHeight="1">
      <c r="A9" s="5" t="str">
        <f ca="1">IFERROR(__xludf.DUMMYFUNCTION("""COMPUTED_VALUE"""),"КСП-Т-10 АЯКС IP66")</f>
        <v>КСП-Т-10 АЯКС IP66</v>
      </c>
      <c r="B9" s="6" t="str">
        <f ca="1">IFERROR(__xludf.DUMMYFUNCTION("""COMPUTED_VALUE"""),"Клеммная коробка 120х103х50, IP66, с датчиком вскрытия корпуса,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кабельн"&amp;"ой прокладки, шин заземления, клапана выравнивания давления, комплектация двухкомпонентным компаундом.")</f>
        <v>Клеммная коробка 120х103х50, IP66, с датчиком вскрытия корпуса,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9" s="9">
        <f ca="1">IFERROR(__xludf.DUMMYFUNCTION("""COMPUTED_VALUE"""),1780)</f>
        <v>1780</v>
      </c>
      <c r="D9" s="6"/>
      <c r="E9" s="8"/>
    </row>
    <row r="10" spans="1:5" ht="15.75" customHeight="1">
      <c r="A10" s="5" t="str">
        <f ca="1">IFERROR(__xludf.DUMMYFUNCTION("""COMPUTED_VALUE"""),"КСП-15 АЯКС IP66")</f>
        <v>КСП-15 АЯКС IP66</v>
      </c>
      <c r="B10" s="6" t="str">
        <f ca="1">IFERROR(__xludf.DUMMYFUNCTION("""COMPUTED_VALUE"""),"Клеммная коробка 195х80х75,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195х80х75,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0" s="9">
        <f ca="1">IFERROR(__xludf.DUMMYFUNCTION("""COMPUTED_VALUE"""),2300)</f>
        <v>2300</v>
      </c>
      <c r="D10" s="6"/>
      <c r="E10" s="8"/>
    </row>
    <row r="11" spans="1:5" ht="15.75" customHeight="1">
      <c r="A11" s="5" t="str">
        <f ca="1">IFERROR(__xludf.DUMMYFUNCTION("""COMPUTED_VALUE"""),"КСП-15 АЯКС IP66 Wago")</f>
        <v>КСП-15 АЯКС IP66 Wago</v>
      </c>
      <c r="B11" s="6" t="str">
        <f ca="1">IFERROR(__xludf.DUMMYFUNCTION("""COMPUTED_VALUE"""),"Клеммная коробка 195х80х75, IP66, 15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заземлени"&amp;"я, клапана выравнивания давления, комплектация двухкомпонентным компаундом.")</f>
        <v>Клеммная коробка 195х80х75, IP66, 15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1" s="9">
        <f ca="1">IFERROR(__xludf.DUMMYFUNCTION("""COMPUTED_VALUE"""),2900)</f>
        <v>2900</v>
      </c>
      <c r="D11" s="6"/>
      <c r="E11" s="8"/>
    </row>
    <row r="12" spans="1:5" ht="15.75" customHeight="1">
      <c r="A12" s="5" t="str">
        <f ca="1">IFERROR(__xludf.DUMMYFUNCTION("""COMPUTED_VALUE"""),"КСП-Т-15 АЯКС IP66")</f>
        <v>КСП-Т-15 АЯКС IP66</v>
      </c>
      <c r="B12" s="6" t="str">
        <f ca="1">IFERROR(__xludf.DUMMYFUNCTION("""COMPUTED_VALUE"""),"Клеммная коробка 195х80х75, с датчиком вскрытия корпуса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кабельно"&amp;"й прокладки, шин заземления, клапана выравнивания давления, комплектация двухкомпонентным компаундом.")</f>
        <v>Клеммная коробка 195х80х75, с датчиком вскрытия корпуса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2" s="9">
        <f ca="1">IFERROR(__xludf.DUMMYFUNCTION("""COMPUTED_VALUE"""),2600)</f>
        <v>2600</v>
      </c>
      <c r="D12" s="6"/>
      <c r="E12" s="8"/>
    </row>
    <row r="13" spans="1:5" ht="15.75" customHeight="1">
      <c r="A13" s="5" t="str">
        <f ca="1">IFERROR(__xludf.DUMMYFUNCTION("""COMPUTED_VALUE"""),"КСП-15 АЯКС IP66 (10мм2)")</f>
        <v>КСП-15 АЯКС IP66 (10мм2)</v>
      </c>
      <c r="B13" s="6" t="str">
        <f ca="1">IFERROR(__xludf.DUMMYFUNCTION("""COMPUTED_VALUE"""),"Клеммная коробка 195х80х75, IP66, 15 винтовых клемм (до 10мм2), 8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195х80х75, IP66, 15 винтовых клемм (до 10мм2), 8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3" s="9">
        <f ca="1">IFERROR(__xludf.DUMMYFUNCTION("""COMPUTED_VALUE"""),2540)</f>
        <v>2540</v>
      </c>
      <c r="D13" s="6"/>
      <c r="E13" s="8"/>
    </row>
    <row r="14" spans="1:5" ht="15.75" customHeight="1">
      <c r="A14" s="5" t="str">
        <f ca="1">IFERROR(__xludf.DUMMYFUNCTION("""COMPUTED_VALUE"""),"КСП-20 АЯКС IP66")</f>
        <v>КСП-20 АЯКС IP66</v>
      </c>
      <c r="B14" s="6" t="str">
        <f ca="1">IFERROR(__xludf.DUMMYFUNCTION("""COMPUTED_VALUE"""),"Клеммная коробка 302х148х93, IP66,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302х148х93, IP66,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4" s="9">
        <f ca="1">IFERROR(__xludf.DUMMYFUNCTION("""COMPUTED_VALUE"""),4160)</f>
        <v>4160</v>
      </c>
      <c r="D14" s="6"/>
      <c r="E14" s="8"/>
    </row>
    <row r="15" spans="1:5" ht="15.75" customHeight="1">
      <c r="A15" s="5" t="str">
        <f ca="1">IFERROR(__xludf.DUMMYFUNCTION("""COMPUTED_VALUE"""),"КСП-20 АЯКС IP66 Wago")</f>
        <v>КСП-20 АЯКС IP66 Wago</v>
      </c>
      <c r="B15" s="6" t="str">
        <f ca="1">IFERROR(__xludf.DUMMYFUNCTION("""COMPUTED_VALUE"""),"Клеммная коробка 302х148х93, IP66, 
 20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20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5" s="9">
        <f ca="1">IFERROR(__xludf.DUMMYFUNCTION("""COMPUTED_VALUE"""),4960)</f>
        <v>4960</v>
      </c>
      <c r="D15" s="6"/>
      <c r="E15" s="8"/>
    </row>
    <row r="16" spans="1:5" ht="15.75" customHeight="1">
      <c r="A16" s="5" t="str">
        <f ca="1">IFERROR(__xludf.DUMMYFUNCTION("""COMPUTED_VALUE"""),"КСП-20 АЯКС IP66 (10мм2)")</f>
        <v>КСП-20 АЯКС IP66 (10мм2)</v>
      </c>
      <c r="B16" s="6" t="str">
        <f ca="1">IFERROR(__xludf.DUMMYFUNCTION("""COMPUTED_VALUE"""),"Клеммная коробка 302х148х93, IP66, 20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20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6" s="9">
        <f ca="1">IFERROR(__xludf.DUMMYFUNCTION("""COMPUTED_VALUE"""),4820)</f>
        <v>4820</v>
      </c>
      <c r="D16" s="6"/>
      <c r="E16" s="8"/>
    </row>
    <row r="17" spans="1:5" ht="15.75" customHeight="1">
      <c r="A17" s="5" t="str">
        <f ca="1">IFERROR(__xludf.DUMMYFUNCTION("""COMPUTED_VALUE"""),"КСП-Т-20 АЯКС IP66")</f>
        <v>КСП-Т-20 АЯКС IP66</v>
      </c>
      <c r="B17" s="6" t="str">
        <f ca="1">IFERROR(__xludf.DUMMYFUNCTION("""COMPUTED_VALUE"""),"Клеммная коробка 302х148х93, IP66, датчик вскрытия корпуса,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"&amp;"прокладки, шин заземления, клапана выравнивания давления, комплектация двухкомпонентным компаундом")</f>
        <v>Клеммная коробка 302х148х93, IP66, датчик вскрытия корпуса,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7" s="9">
        <f ca="1">IFERROR(__xludf.DUMMYFUNCTION("""COMPUTED_VALUE"""),4560)</f>
        <v>4560</v>
      </c>
      <c r="D17" s="6"/>
      <c r="E17" s="8"/>
    </row>
    <row r="18" spans="1:5" ht="15.75" customHeight="1">
      <c r="A18" s="5" t="str">
        <f ca="1">IFERROR(__xludf.DUMMYFUNCTION("""COMPUTED_VALUE"""),"КСП-25 АЯКС IP66")</f>
        <v>КСП-25 АЯКС IP66</v>
      </c>
      <c r="B18" s="6" t="str">
        <f ca="1">IFERROR(__xludf.DUMMYFUNCTION("""COMPUTED_VALUE"""),"Клеммная коробка 302х148х93, IP66,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заземлен"&amp;"ия, клапана выравнивания давления, комплектация двухкомпонентным компаундом")</f>
        <v>Клеммная коробка 302х148х93, IP66,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8" s="9">
        <f ca="1">IFERROR(__xludf.DUMMYFUNCTION("""COMPUTED_VALUE"""),4360)</f>
        <v>4360</v>
      </c>
      <c r="D18" s="6"/>
      <c r="E18" s="8"/>
    </row>
    <row r="19" spans="1:5" ht="15.75" customHeight="1">
      <c r="A19" s="5" t="str">
        <f ca="1">IFERROR(__xludf.DUMMYFUNCTION("""COMPUTED_VALUE"""),"КСП-25 АЯКС IP66 Wago")</f>
        <v>КСП-25 АЯКС IP66 Wago</v>
      </c>
      <c r="B19" s="6" t="str">
        <f ca="1">IFERROR(__xludf.DUMMYFUNCTION("""COMPUTED_VALUE"""),"Клеммная коробка 302х148х93, IP66, 
 25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9" s="9">
        <f ca="1">IFERROR(__xludf.DUMMYFUNCTION("""COMPUTED_VALUE"""),5160)</f>
        <v>5160</v>
      </c>
      <c r="D19" s="6"/>
      <c r="E19" s="8"/>
    </row>
    <row r="20" spans="1:5" ht="15.75" customHeight="1">
      <c r="A20" s="5" t="str">
        <f ca="1">IFERROR(__xludf.DUMMYFUNCTION("""COMPUTED_VALUE"""),"КСП-25 АЯКС IP66 (10мм2)")</f>
        <v>КСП-25 АЯКС IP66 (10мм2)</v>
      </c>
      <c r="B20" s="6" t="str">
        <f ca="1">IFERROR(__xludf.DUMMYFUNCTION("""COMPUTED_VALUE"""),"Клеммная коробка 302х148х93, IP66, 25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25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20" s="9">
        <f ca="1">IFERROR(__xludf.DUMMYFUNCTION("""COMPUTED_VALUE"""),5160)</f>
        <v>5160</v>
      </c>
      <c r="D20" s="6"/>
      <c r="E20" s="8"/>
    </row>
    <row r="21" spans="1:5" ht="15.75" customHeight="1">
      <c r="A21" s="5" t="str">
        <f ca="1">IFERROR(__xludf.DUMMYFUNCTION("""COMPUTED_VALUE"""),"КСП-Т-25 АЯКС IP66")</f>
        <v>КСП-Т-25 АЯКС IP66</v>
      </c>
      <c r="B21" s="6" t="str">
        <f ca="1">IFERROR(__xludf.DUMMYFUNCTION("""COMPUTED_VALUE"""),"Клеммная коробка 302х148х93, IP66, датчик 
 вскрытия корпуса,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кабельно"&amp;"й прокладки, шин заземления, клапана выравнивания давления, комплектация двухкомпонентным компаундом")</f>
        <v>Клеммная коробка 302х148х93, IP66, датчик 
 вскрытия корпуса,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21" s="9">
        <f ca="1">IFERROR(__xludf.DUMMYFUNCTION("""COMPUTED_VALUE"""),4960)</f>
        <v>4960</v>
      </c>
      <c r="D21" s="6"/>
      <c r="E21" s="8"/>
    </row>
    <row r="22" spans="1:5" ht="15.75" customHeight="1">
      <c r="A22" s="5" t="str">
        <f ca="1">IFERROR(__xludf.DUMMYFUNCTION("""COMPUTED_VALUE"""),"Контроллер Z-R5 АЯКС, IP66/IP67 ")</f>
        <v xml:space="preserve">Контроллер Z-R5 АЯКС, IP66/IP67 </v>
      </c>
      <c r="B22" s="6" t="str">
        <f ca="1">IFERROR(__xludf.DUMMYFUNCTION("""COMPUTED_VALUE"""),"Применяется в качестве автономного контроллера с силовым реле на выходе для управления внешними устройствами. Стандартный базовый комплект - 2 ввода МВ20х1,5 (4-10мм) для открытой прокладки кабеля")</f>
        <v>Применяется в качестве автономного контроллера с силовым реле на выходе для управления внешними устройствами. Стандартный базовый комплект - 2 ввода МВ20х1,5 (4-10мм) для открытой прокладки кабеля</v>
      </c>
      <c r="C22" s="9">
        <f ca="1">IFERROR(__xludf.DUMMYFUNCTION("""COMPUTED_VALUE"""),6800)</f>
        <v>6800</v>
      </c>
      <c r="D22" s="6"/>
      <c r="E22" s="8"/>
    </row>
    <row r="23" spans="1:5" ht="15.75" customHeight="1">
      <c r="A23" s="5" t="str">
        <f ca="1">IFERROR(__xludf.DUMMYFUNCTION("""COMPUTED_VALUE"""),"Контроллер-Ех взрывозащищенный Z-R5 АЯКС (1Ex db IIC T6 Db Х / Ex tb IIIC T85°C Db X)")</f>
        <v>Контроллер-Ех взрывозащищенный Z-R5 АЯКС (1Ex db IIC T6 Db Х / Ex tb IIIC T85°C Db X)</v>
      </c>
      <c r="B23" s="6" t="str">
        <f ca="1">IFERROR(__xludf.DUMMYFUNCTION("""COMPUTED_VALUE"""),"Предназначен для применения в взрывозащищенной СКУД, в качестве автономного контроллера с силовым реле на выходе для управления внешними устройствами. Стандартный базовый корпус: два проходных отверстия М20х1,5, две Ех-заглушки М20х1,5. По требованию зака"&amp;"зчика может изготавливаться: — с количество отверстий 1-3 с резьбой М16х1,5 / М20х1,5/ М25х1,5. - с взрывозащищенными кабельными вводами  для бронированного кабеля (В), для открытой прокладки небронированного кабеля (К),  для прокладки кабеля в металлорук"&amp;"аве (КМ), для прокладки кабеля в трубе (Т). 
Также является компонентом взрывозащищенной СКУД АЯКС-Ех ")</f>
        <v xml:space="preserve">Предназначен для применения в взрывозащищенной СКУД, в качестве автономного контроллера с силовым реле на выходе для управления внешними устройствами. Стандартный базовый корпус: два проходных отверстия М20х1,5, две Ех-заглушки М20х1,5. По требованию заказчика может изготавливаться: — с количество отверстий 1-3 с резьбой М16х1,5 / М20х1,5/ М25х1,5. - с взрывозащищенными кабельными вводами  для бронированного кабеля (В), для открытой прокладки небронированного кабеля (К),  для прокладки кабеля в металлорукаве (КМ), для прокладки кабеля в трубе (Т). 
Также является компонентом взрывозащищенной СКУД АЯКС-Ех </v>
      </c>
      <c r="C23" s="9">
        <f ca="1">IFERROR(__xludf.DUMMYFUNCTION("""COMPUTED_VALUE"""),37200)</f>
        <v>37200</v>
      </c>
      <c r="D23" s="6"/>
      <c r="E23" s="8"/>
    </row>
    <row r="24" spans="1:5" ht="15.75" customHeight="1">
      <c r="A24" s="5" t="str">
        <f ca="1">IFERROR(__xludf.DUMMYFUNCTION("""COMPUTED_VALUE"""),"Считыватель-Ех RD 26-REH-К АЯКС")</f>
        <v>Считыватель-Ех RD 26-REH-К АЯКС</v>
      </c>
      <c r="B24"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открытой прокладки кабеля")</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открытой прокладки кабеля</v>
      </c>
      <c r="C24" s="9">
        <f ca="1">IFERROR(__xludf.DUMMYFUNCTION("""COMPUTED_VALUE"""),23620)</f>
        <v>23620</v>
      </c>
      <c r="D24" s="6"/>
      <c r="E24" s="8"/>
    </row>
    <row r="25" spans="1:5" ht="15.75" customHeight="1">
      <c r="A25" s="5" t="str">
        <f ca="1">IFERROR(__xludf.DUMMYFUNCTION("""COMPUTED_VALUE"""),"Считыватель-Ех RD 26-REH-КМ АЯКС")</f>
        <v>Считыватель-Ех RD 26-REH-КМ АЯКС</v>
      </c>
      <c r="B25"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прокладки кабеля в металлорукаве (диаметр рукава уточнить).")</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прокладки кабеля в металлорукаве (диаметр рукава уточнить).</v>
      </c>
      <c r="C25" s="9">
        <f ca="1">IFERROR(__xludf.DUMMYFUNCTION("""COMPUTED_VALUE"""),23620)</f>
        <v>23620</v>
      </c>
      <c r="D25" s="6"/>
      <c r="E25" s="8"/>
    </row>
    <row r="26" spans="1:5" ht="15.75" customHeight="1">
      <c r="A26" s="5" t="str">
        <f ca="1">IFERROR(__xludf.DUMMYFUNCTION("""COMPUTED_VALUE"""),"Считыватель-Ех RD 26-REH-Т АЯКС")</f>
        <v>Считыватель-Ех RD 26-REH-Т АЯКС</v>
      </c>
      <c r="B26"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прокладки кабеля в трубе")</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прокладки кабеля в трубе</v>
      </c>
      <c r="C26" s="9">
        <f ca="1">IFERROR(__xludf.DUMMYFUNCTION("""COMPUTED_VALUE"""),23620)</f>
        <v>23620</v>
      </c>
      <c r="D26" s="6"/>
      <c r="E26" s="8"/>
    </row>
    <row r="27" spans="1:5" ht="15.75" customHeight="1">
      <c r="A27" s="5" t="str">
        <f ca="1">IFERROR(__xludf.DUMMYFUNCTION("""COMPUTED_VALUE"""),"Считыватель-Ех RD 26-REH-В АЯКС")</f>
        <v>Считыватель-Ех RD 26-REH-В АЯКС</v>
      </c>
      <c r="B27"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прокладки бронекабеля")</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прокладки бронекабеля</v>
      </c>
      <c r="C27" s="9">
        <f ca="1">IFERROR(__xludf.DUMMYFUNCTION("""COMPUTED_VALUE"""),23620)</f>
        <v>23620</v>
      </c>
      <c r="D27" s="6"/>
      <c r="E27" s="8"/>
    </row>
    <row r="28" spans="1:5" ht="15.75" customHeight="1">
      <c r="A28" s="5" t="str">
        <f ca="1">IFERROR(__xludf.DUMMYFUNCTION("""COMPUTED_VALUE"""),"Считыватель-Ех RD 26-RMF-К АЯКС")</f>
        <v>Считыватель-Ех RD 26-RMF-К АЯКС</v>
      </c>
      <c r="B28" s="6" t="str">
        <f ca="1">IFERROR(__xludf.DUMMYFUNCTION("""COMPUTED_VALUE"""),"Взрывозащищенный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"&amp;"открытой прокладки кабеля")</f>
        <v>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открытой прокладки кабеля</v>
      </c>
      <c r="C28" s="9">
        <f ca="1">IFERROR(__xludf.DUMMYFUNCTION("""COMPUTED_VALUE"""),23620)</f>
        <v>23620</v>
      </c>
      <c r="D28" s="6"/>
      <c r="E28" s="8"/>
    </row>
    <row r="29" spans="1:5" ht="15.75" customHeight="1">
      <c r="A29" s="5" t="str">
        <f ca="1">IFERROR(__xludf.DUMMYFUNCTION("""COMPUTED_VALUE"""),"Считыватель-Ех RD 26-RMF-КМ  (КМ4, КМ6, КМ8, КМ10) АЯКС")</f>
        <v>Считыватель-Ех RD 26-RMF-КМ  (КМ4, КМ6, КМ8, КМ10) АЯКС</v>
      </c>
      <c r="B29" s="6" t="str">
        <f ca="1">IFERROR(__xludf.DUMMYFUNCTION("""COMPUTED_VALUE"""),"Взрывозащищенный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"&amp;"прокладки кабеля в металлорукаве (диаметр рукава уточнить)")</f>
        <v>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прокладки кабеля в металлорукаве (диаметр рукава уточнить)</v>
      </c>
      <c r="C29" s="9">
        <f ca="1">IFERROR(__xludf.DUMMYFUNCTION("""COMPUTED_VALUE"""),23620)</f>
        <v>23620</v>
      </c>
      <c r="D29" s="6"/>
      <c r="E29" s="8"/>
    </row>
    <row r="30" spans="1:5" ht="15.75" customHeight="1">
      <c r="A30" s="5" t="str">
        <f ca="1">IFERROR(__xludf.DUMMYFUNCTION("""COMPUTED_VALUE"""),"Считыватель-Ех RD 26-RMF-Т АЯКС")</f>
        <v>Считыватель-Ех RD 26-RMF-Т АЯКС</v>
      </c>
      <c r="B30" s="6" t="str">
        <f ca="1">IFERROR(__xludf.DUMMYFUNCTION("""COMPUTED_VALUE"""),"Взрывозащищенный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"&amp;"прокладки кабеля в трубе")</f>
        <v>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прокладки кабеля в трубе</v>
      </c>
      <c r="C30" s="9">
        <f ca="1">IFERROR(__xludf.DUMMYFUNCTION("""COMPUTED_VALUE"""),23620)</f>
        <v>23620</v>
      </c>
      <c r="D30" s="6"/>
      <c r="E30" s="8"/>
    </row>
    <row r="31" spans="1:5" ht="15.75" customHeight="1">
      <c r="A31" s="5" t="str">
        <f ca="1">IFERROR(__xludf.DUMMYFUNCTION("""COMPUTED_VALUE"""),"Считыватель-Ех RD 26-RMF-В АЯКС")</f>
        <v>Считыватель-Ех RD 26-RMF-В АЯКС</v>
      </c>
      <c r="B31" s="6" t="str">
        <f ca="1">IFERROR(__xludf.DUMMYFUNCTION("""COMPUTED_VALUE"""),"Взрывозащищенный бесконтактный идентификатор формата Mifare, расстояние считывания до 5 см, интерфейс Wiegand 26/34/42/50/58, Dallas Touch Memory , 8...18 В, 50 мА, IP66/67, -40...+60 ⁰С, корпус из нержавеющей стали, кабель 1м (штатно), кабельный ввод для"&amp;" прокладки бронекабеля")</f>
        <v>Взрывозащищенный бесконтактный идентификатор формата Mifare, расстояние считывания до 5 см, интерфейс Wiegand 26/34/42/50/58, Dallas Touch Memory , 8...18 В, 50 мА, IP66/67, -40...+60 ⁰С, корпус из нержавеющей стали, кабель 1м (штатно), кабельный ввод для прокладки бронекабеля</v>
      </c>
      <c r="C31" s="9">
        <f ca="1">IFERROR(__xludf.DUMMYFUNCTION("""COMPUTED_VALUE"""),23620)</f>
        <v>23620</v>
      </c>
      <c r="D31" s="6"/>
      <c r="E31" s="8"/>
    </row>
    <row r="32" spans="1:5" ht="15.75" customHeight="1">
      <c r="A32" s="5" t="str">
        <f ca="1">IFERROR(__xludf.DUMMYFUNCTION("""COMPUTED_VALUE"""),"Карта proximity стандартная ST-PC010EM (Smartec)")</f>
        <v>Карта proximity стандартная ST-PC010EM (Smartec)</v>
      </c>
      <c r="B32" s="6" t="str">
        <f ca="1">IFERROR(__xludf.DUMMYFUNCTION("""COMPUTED_VALUE"""),"Предназначена для использования в качестве ключа доступа в системах контроля и управления доступом совместно со считывателями стандарта EM-Marin. С прорезью стандартная, с номером, 86х54х1.6мм.")</f>
        <v>Предназначена для использования в качестве ключа доступа в системах контроля и управления доступом совместно со считывателями стандарта EM-Marin. С прорезью стандартная, с номером, 86х54х1.6мм.</v>
      </c>
      <c r="C32" s="9">
        <f ca="1">IFERROR(__xludf.DUMMYFUNCTION("""COMPUTED_VALUE"""),18)</f>
        <v>18</v>
      </c>
      <c r="D32" s="6"/>
      <c r="E32" s="8"/>
    </row>
    <row r="33" spans="1:5" ht="15.75" customHeight="1">
      <c r="A33" s="5" t="str">
        <f ca="1">IFERROR(__xludf.DUMMYFUNCTION("""COMPUTED_VALUE"""),"Карта Mifare стандартная ST-PC010MF (Smartec)")</f>
        <v>Карта Mifare стандартная ST-PC010MF (Smartec)</v>
      </c>
      <c r="B33" s="6" t="str">
        <f ca="1">IFERROR(__xludf.DUMMYFUNCTION("""COMPUTED_VALUE"""),"Предназначена для использования в качестве ключа доступа в системах контроля и управления доступом совместно со считывателями стандарта Mifare. С прорезью стандартная, с номером, 86х54х1.6мм.")</f>
        <v>Предназначена для использования в качестве ключа доступа в системах контроля и управления доступом совместно со считывателями стандарта Mifare. С прорезью стандартная, с номером, 86х54х1.6мм.</v>
      </c>
      <c r="C33" s="9">
        <f ca="1">IFERROR(__xludf.DUMMYFUNCTION("""COMPUTED_VALUE"""),20)</f>
        <v>20</v>
      </c>
      <c r="D33" s="6"/>
      <c r="E33" s="8"/>
    </row>
    <row r="34" spans="1:5" ht="15.75" customHeight="1">
      <c r="A34" s="5" t="str">
        <f ca="1">IFERROR(__xludf.DUMMYFUNCTION("""COMPUTED_VALUE"""),"Брелок ST-PT011EM-GR (Smartec)")</f>
        <v>Брелок ST-PT011EM-GR (Smartec)</v>
      </c>
      <c r="B34" s="6" t="str">
        <f ca="1">IFERROR(__xludf.DUMMYFUNCTION("""COMPUTED_VALUE"""),"Брелок EmMarin, серый, 40х32х4 мм")</f>
        <v>Брелок EmMarin, серый, 40х32х4 мм</v>
      </c>
      <c r="C34" s="9">
        <f ca="1">IFERROR(__xludf.DUMMYFUNCTION("""COMPUTED_VALUE"""),26)</f>
        <v>26</v>
      </c>
      <c r="D34" s="6"/>
      <c r="E34" s="8"/>
    </row>
    <row r="35" spans="1:5" ht="15.75" customHeight="1">
      <c r="A35" s="5" t="str">
        <f ca="1">IFERROR(__xludf.DUMMYFUNCTION("""COMPUTED_VALUE"""),"Брелок ST-PT011MF-GR (Smartec)")</f>
        <v>Брелок ST-PT011MF-GR (Smartec)</v>
      </c>
      <c r="B35" s="6" t="str">
        <f ca="1">IFERROR(__xludf.DUMMYFUNCTION("""COMPUTED_VALUE"""),"Брелок Mifare, серый, 40х32х4 мм")</f>
        <v>Брелок Mifare, серый, 40х32х4 мм</v>
      </c>
      <c r="C35" s="9">
        <f ca="1">IFERROR(__xludf.DUMMYFUNCTION("""COMPUTED_VALUE"""),28)</f>
        <v>28</v>
      </c>
      <c r="D35" s="6"/>
      <c r="E35" s="8"/>
    </row>
    <row r="36" spans="1:5" ht="15.75" customHeight="1">
      <c r="A36" s="5" t="str">
        <f ca="1">IFERROR(__xludf.DUMMYFUNCTION("""COMPUTED_VALUE"""),"Коробка распределительная 195х80х75 АЯКС-КР (лайт)")</f>
        <v>Коробка распределительная 195х80х75 АЯКС-КР (лайт)</v>
      </c>
      <c r="B36" s="6" t="str">
        <f ca="1">IFERROR(__xludf.DUMMYFUNCTION("""COMPUTED_VALUE"""),"Коммутационная коробка, без датчика вскрытия, без шины заземления, без клапана выравнивания давления. Два торцевых пластиковых кабельных ввода М20х1,5, винтовые клеммы 4 мм.кв, 12 цепей. Выбор иного количества, диаметра и материала вводов, а также количес"&amp;"тво и вида клеммников, согласно форме заказа, доступно на сайте производителя.")</f>
        <v>Коммутационная коробка, без датчика вскрытия, без шины заземления, без клапана выравнивания давления. Два торцевых пластиковых кабельных ввода М20х1,5, винтовые клеммы 4 мм.кв, 12 цепей. Выбор иного количества, диаметра и материала вводов, а также количество и вида клеммников, согласно форме заказа, доступно на сайте производителя.</v>
      </c>
      <c r="C36" s="9">
        <f ca="1">IFERROR(__xludf.DUMMYFUNCTION("""COMPUTED_VALUE"""),1600)</f>
        <v>1600</v>
      </c>
      <c r="D36" s="6"/>
      <c r="E36" s="8"/>
    </row>
    <row r="37" spans="1:5" ht="15.75" customHeight="1">
      <c r="A37" s="5" t="str">
        <f ca="1">IFERROR(__xludf.DUMMYFUNCTION("""COMPUTED_VALUE"""),"Коробка распределительная 195х80х75 АЯКС-КР (база)")</f>
        <v>Коробка распределительная 195х80х75 АЯКС-КР (база)</v>
      </c>
      <c r="B37" s="6" t="str">
        <f ca="1">IFERROR(__xludf.DUMMYFUNCTION("""COMPUTED_VALUE"""),"Коммутационная коробка, датчик вскрытия корпуса, четыре (1х4) пластиковых кабельных ввода М20х1,5 , винтовые клеммы 4 мм.кв, 15 цепей. Выбор иного количества, диаметра и материала вводов, а также количества и вида клеммников, доступно на сайте производите"&amp;"ля, согласно форме заказа.")</f>
        <v>Коммутационная коробка, датчик вскрытия корпуса, четыре (1х4) пластиковых кабельных ввода М20х1,5 , винтовые клеммы 4 мм.кв, 15 цепей. Выбор иного количества, диаметра и материала вводов, а также количества и вида клеммников, доступно на сайте производителя, согласно форме заказа.</v>
      </c>
      <c r="C37" s="9">
        <f ca="1">IFERROR(__xludf.DUMMYFUNCTION("""COMPUTED_VALUE"""),2600)</f>
        <v>2600</v>
      </c>
      <c r="D37" s="6"/>
      <c r="E37" s="8"/>
    </row>
    <row r="38" spans="1:5" ht="15.75" customHeight="1">
      <c r="A38" s="5" t="str">
        <f ca="1">IFERROR(__xludf.DUMMYFUNCTION("""COMPUTED_VALUE"""),"Коробка распределительная 195х80х75 АЯКС-КР (макс)")</f>
        <v>Коробка распределительная 195х80х75 АЯКС-КР (макс)</v>
      </c>
      <c r="B38" s="6" t="str">
        <f ca="1">IFERROR(__xludf.DUMMYFUNCTION("""COMPUTED_VALUE"""),"Коммутационная коробка, с датчиком вскрытия, шина заземления, клапан выравнивания давления. 16 кабельных ввода (6х2 и 2х2) М12х1,5, винтовые клеммы 4 мм.кв, 20 цепей. Выбор иного количества, диаметра и материала вводов, а также количества и вида клеммнико"&amp;"в, доступно на сайте производителя, согласно форме заказа")</f>
        <v>Коммутационная коробка, с датчиком вскрытия, шина заземления, клапан выравнивания давления. 16 кабельных ввода (6х2 и 2х2) М12х1,5, винтовые клеммы 4 мм.кв, 20 цепей. Выбор иного количества, диаметра и материала вводов, а также количества и вида клеммников, доступно на сайте производителя, согласно форме заказа</v>
      </c>
      <c r="C38" s="9">
        <f ca="1">IFERROR(__xludf.DUMMYFUNCTION("""COMPUTED_VALUE"""),3600)</f>
        <v>3600</v>
      </c>
      <c r="D38" s="6"/>
      <c r="E38" s="8"/>
    </row>
    <row r="39" spans="1:5" ht="15.75" customHeight="1">
      <c r="A39" s="5" t="str">
        <f ca="1">IFERROR(__xludf.DUMMYFUNCTION("""COMPUTED_VALUE"""),"Бутылконоситель (корзина) для бутыломоечных машин типа TERMA 28 NATE")</f>
        <v>Бутылконоситель (корзина) для бутыломоечных машин типа TERMA 28 NATE</v>
      </c>
      <c r="B39" s="6"/>
      <c r="C39" s="9">
        <f ca="1">IFERROR(__xludf.DUMMYFUNCTION("""COMPUTED_VALUE"""),480)</f>
        <v>480</v>
      </c>
      <c r="D39" s="6"/>
      <c r="E39" s="8"/>
    </row>
    <row r="40" spans="1:5" ht="38.25">
      <c r="A40" s="5" t="str">
        <f ca="1">IFERROR(__xludf.DUMMYFUNCTION("""COMPUTED_VALUE"""),"Геркон переключающий АЯКС-14104 С (10-15 АТ) поштучно")</f>
        <v>Геркон переключающий АЯКС-14104 С (10-15 АТ) поштучно</v>
      </c>
      <c r="B40" s="6" t="str">
        <f ca="1">IFERROR(__xludf.DUMMYFUNCTION("""COMPUTED_VALUE"""),"Тип контакта         переключающий (C)
МДС срабатывания, А         10-15
МДС отпускания, А, не менее         5")</f>
        <v>Тип контакта         переключающий (C)
МДС срабатывания, А         10-15
МДС отпускания, А, не менее         5</v>
      </c>
      <c r="C40" s="9">
        <f ca="1">IFERROR(__xludf.DUMMYFUNCTION("""COMPUTED_VALUE"""),144)</f>
        <v>144</v>
      </c>
      <c r="D40" s="6"/>
      <c r="E40" s="8"/>
    </row>
    <row r="41" spans="1:5" ht="51">
      <c r="A41" s="5" t="str">
        <f ca="1">IFERROR(__xludf.DUMMYFUNCTION("""COMPUTED_VALUE"""),"Геркон переключающий АЯКС-14104 С (10-15 АТ) упаковкой")</f>
        <v>Геркон переключающий АЯКС-14104 С (10-15 АТ) упаковкой</v>
      </c>
      <c r="B41" s="6" t="str">
        <f ca="1">IFERROR(__xludf.DUMMYFUNCTION("""COMPUTED_VALUE"""),"Норма упаковки, шт         1000
Тип контакта         переключающий (C)
МДС срабатывания, А         10-15
МДС отпускания, А, не менее         5")</f>
        <v>Норма упаковки, шт         1000
Тип контакта         переключающий (C)
МДС срабатывания, А         10-15
МДС отпускания, А, не менее         5</v>
      </c>
      <c r="C41" s="9">
        <f ca="1">IFERROR(__xludf.DUMMYFUNCTION("""COMPUTED_VALUE"""),120)</f>
        <v>120</v>
      </c>
      <c r="D41" s="6"/>
      <c r="E41" s="8"/>
    </row>
    <row r="42" spans="1:5" ht="204">
      <c r="A42" s="5" t="str">
        <f ca="1">IFERROR(__xludf.DUMMYFUNCTION("""COMPUTED_VALUE"""),"ИПР 535-Ехd-А «МОРОЗ» АТФЕ.425211.001 ТУ")</f>
        <v>ИПР 535-Ехd-А «МОРОЗ» АТФЕ.425211.001 ТУ</v>
      </c>
      <c r="B42" s="6" t="str">
        <f ca="1">IFERROR(__xludf.DUMMYFUNCTION("""COMPUTED_VALUE"""),"Извещатель приводится в действие удалением чеки-застежки,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позволяют ввести:
 - кабели круглого сечен"&amp;"ия – К,
 - кабель с прокладкой в трубе - Т, 
 - бронированный кабель - В,
 - кабель в металлорукаве - КМ.
 Извещатель выпускается с одним (0), двумя (угловой 2У и проходной 2П) и тремя (Т) отверстиями под кабельные вводы. Исполнение уточняется при заказе "&amp;"(по умолчанию 2П).")</f>
        <v>Извещатель приводится в действие удалением чеки-застежки,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Извещатель выпускается с одним (0), двумя (угловой 2У и проходной 2П) и тремя (Т) отверстиями под кабельные вводы. Исполнение уточняется при заказе (по умолчанию 2П).</v>
      </c>
      <c r="C42" s="9">
        <f ca="1">IFERROR(__xludf.DUMMYFUNCTION("""COMPUTED_VALUE"""),7535)</f>
        <v>7535</v>
      </c>
      <c r="D42" s="6"/>
      <c r="E42" s="8"/>
    </row>
    <row r="43" spans="1:5" ht="216.75">
      <c r="A43" s="5" t="str">
        <f ca="1">IFERROR(__xludf.DUMMYFUNCTION("""COMPUTED_VALUE"""),"ИПР 535-Ехd-В «МОРОЗ» АТФЕ.425211.001 ТУ")</f>
        <v>ИПР 535-Ехd-В «МОРОЗ» АТФЕ.425211.001 ТУ</v>
      </c>
      <c r="B43" s="6" t="str">
        <f ca="1">IFERROR(__xludf.DUMMYFUNCTION("""COMPUTED_VALUE"""),"Извещатель приводится в действие удалением чеки-застежки после смещения защитного элемента ,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позволя"&amp;"ют ввести:
 - кабели круглого сечения – К,
 - кабель с прокладкой в трубе - Т, 
 - бронированный кабель - В,
 - кабель в металлорукаве - КМ
 Извещатель выпускается с одним, двумя (угловой 2У и проходной 2П) и тремя отверстиями под кабельные вводы. Исполне"&amp;"ние уточняется при заказе (по умолчанию 2П).")</f>
        <v>Извещатель приводится в действие удалением чеки-застежки после смещения защитного элемента ,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Извещатель выпускается с одним, двумя (угловой 2У и проходной 2П) и тремя отверстиями под кабельные вводы. Исполнение уточняется при заказе (по умолчанию 2П).</v>
      </c>
      <c r="C43" s="9">
        <f ca="1">IFERROR(__xludf.DUMMYFUNCTION("""COMPUTED_VALUE"""),7810)</f>
        <v>7810</v>
      </c>
      <c r="D43" s="6"/>
      <c r="E43" s="8"/>
    </row>
    <row r="44" spans="1:5" ht="153">
      <c r="A44" s="5" t="str">
        <f ca="1">IFERROR(__xludf.DUMMYFUNCTION("""COMPUTED_VALUE"""),"ИПР 535-Ехd-А «МОРОЗ» + МКВМ М20 + МКВМ М20 АТФЕ.425211.001 ТУ В комплекте с двумя вводами из нержавеющей стали МКВМ М20")</f>
        <v>ИПР 535-Ехd-А «МОРОЗ» + МКВМ М20 + МКВМ М20 АТФЕ.425211.001 ТУ В комплекте с двумя вводами из нержавеющей стали МКВМ М20</v>
      </c>
      <c r="B44"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М20. Тип штуцера - выбрать. (кабели круглого сечения – К, кабель с прокладкой в трубе - Т,"&amp;" - бронированный кабель - В, кабель в металлорукаве - КМ). Расположение вводов по умолчанию 2П ""Проходное"",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М20. Тип штуцера - выбрать. (кабели круглого сечения – К, кабель с прокладкой в трубе - Т, - бронированный кабель - В, кабель в металлорукаве - КМ). Расположение вводов по умолчанию 2П "Проходное", 2У "Угловое" исполнение уточняется при заказе</v>
      </c>
      <c r="C44" s="9">
        <f ca="1">IFERROR(__xludf.DUMMYFUNCTION("""COMPUTED_VALUE"""),15268)</f>
        <v>15268</v>
      </c>
      <c r="D44" s="6"/>
      <c r="E44" s="8"/>
    </row>
    <row r="45" spans="1:5" ht="153">
      <c r="A45" s="5" t="str">
        <f ca="1">IFERROR(__xludf.DUMMYFUNCTION("""COMPUTED_VALUE"""),"ИПР 535-Ехd-А «МОРОЗ» + МКВМ М25 + МКВМ М25 АТФЕ.425211.001 ТУ В комплекте с двумя вводами из нержавеющей стали МКВМ М25")</f>
        <v>ИПР 535-Ехd-А «МОРОЗ» + МКВМ М25 + МКВМ М25 АТФЕ.425211.001 ТУ В комплекте с двумя вводами из нержавеющей стали МКВМ М25</v>
      </c>
      <c r="B45"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М25. Тип штуцера - выбрать. (кабели круглого сечения – К, кабель с прокладкой в трубе - Т,"&amp;" - бронированный кабель - В, кабель в металлорукаве - КМ)
 Расположение вводов по умолчанию 2П ""Проходное"",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М25. Тип штуцера - выбрать. (кабели круглого сечения – К, кабель с прокладкой в трубе - Т, - бронированный кабель - В, кабель в металлорукаве - КМ)
 Расположение вводов по умолчанию 2П "Проходное", 2У "Угловое" исполнение уточняется при заказе.</v>
      </c>
      <c r="C45" s="9">
        <f ca="1">IFERROR(__xludf.DUMMYFUNCTION("""COMPUTED_VALUE"""),18568)</f>
        <v>18568</v>
      </c>
      <c r="D45" s="6"/>
      <c r="E45" s="8"/>
    </row>
    <row r="46" spans="1:5" ht="114.75">
      <c r="A46" s="5" t="str">
        <f ca="1">IFERROR(__xludf.DUMMYFUNCTION("""COMPUTED_VALUE"""),"ИПР 535-Ехd-А «МОРОЗ» + ВН20 + ВН20 АТФЕ.425211.001 ТУ В комплекте с двумя вводами ВН20 из никелированной латуни.")</f>
        <v>ИПР 535-Ехd-А «МОРОЗ» + ВН20 + ВН20 АТФЕ.425211.001 ТУ В комплекте с двумя вводами ВН20 из никелированной латуни.</v>
      </c>
      <c r="B46"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(открытая прокладка кабеля диаметром 6-12 мм). Расположение вводов по умолчанию 2П ""Проход"&amp;"ное"",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(открытая прокладка кабеля диаметром 6-12 мм). Расположение вводов по умолчанию 2П "Проходное", 2У "Угловое" исполнение уточняется при заказе.</v>
      </c>
      <c r="C46" s="9">
        <f ca="1">IFERROR(__xludf.DUMMYFUNCTION("""COMPUTED_VALUE"""),9020)</f>
        <v>9020</v>
      </c>
      <c r="D46" s="6"/>
      <c r="E46" s="8"/>
    </row>
    <row r="47" spans="1:5" ht="127.5">
      <c r="A47" s="5" t="str">
        <f ca="1">IFERROR(__xludf.DUMMYFUNCTION("""COMPUTED_VALUE"""),"ИПР 535-Ехd-А «МОРОЗ» + ВН20МР15 + ВН20МР15 АТФЕ.425211.001 ТУ В комплекте с двумя вводами ВН20МР15 из никелированной латуни.")</f>
        <v>ИПР 535-Ехd-А «МОРОЗ» + ВН20МР15 + ВН20МР15 АТФЕ.425211.001 ТУ В комплекте с двумя вводами ВН20МР15 из никелированной латуни.</v>
      </c>
      <c r="B47"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диаметром 6-12 мм в металлорукаве). Расположение вводов по умолчанию 2П "&amp;"""Проходное"",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диаметром 6-12 мм в металлорукаве). Расположение вводов по умолчанию 2П "Проходное", 2У "Угловое" исполнение уточняется при заказе</v>
      </c>
      <c r="C47" s="9">
        <f ca="1">IFERROR(__xludf.DUMMYFUNCTION("""COMPUTED_VALUE"""),9350)</f>
        <v>9350</v>
      </c>
      <c r="D47" s="6"/>
      <c r="E47" s="8"/>
    </row>
    <row r="48" spans="1:5" ht="127.5">
      <c r="A48" s="5" t="str">
        <f ca="1">IFERROR(__xludf.DUMMYFUNCTION("""COMPUTED_VALUE"""),"ИПР 535-Ехd-А «МОРОЗ» + ВА20 + ВА20 АТФЕ.425211.001 ТУ В комплекте с двумя вводами ВА20 из никелированной латуни.")</f>
        <v>ИПР 535-Ехd-А «МОРОЗ» + ВА20 + ВА20 АТФЕ.425211.001 ТУ В комплекте с двумя вводами ВА20 из никелированной латуни.</v>
      </c>
      <c r="B48"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бронекабеля с внешним диаметром 9-17 мм). Расположение вводов по умолчанию 2П """&amp;"Проходное"",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бронекабеля с внешним диаметром 9-17 мм). Расположение вводов по умолчанию 2П "Проходное", 2У "Угловое" исполнение уточняется при заказе</v>
      </c>
      <c r="C48" s="9">
        <f ca="1">IFERROR(__xludf.DUMMYFUNCTION("""COMPUTED_VALUE"""),9680)</f>
        <v>9680</v>
      </c>
      <c r="D48" s="6"/>
      <c r="E48" s="8"/>
    </row>
    <row r="49" spans="1:5" ht="127.5">
      <c r="A49" s="5" t="str">
        <f ca="1">IFERROR(__xludf.DUMMYFUNCTION("""COMPUTED_VALUE"""),"ИПР 535-Ехd-А «МОРОЗ» + ВН20D1/2 + ВН20D1/2 АТФЕ.425211.001 ТУ В комплекте с двумя вводами ВН20D1/2 из никелированной латуни.")</f>
        <v>ИПР 535-Ехd-А «МОРОЗ» + ВН20D1/2 + ВН20D1/2 АТФЕ.425211.001 ТУ В комплекте с двумя вводами ВН20D1/2 из никелированной латуни.</v>
      </c>
      <c r="B49"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с внешним диаметром 6-12 мм в трубе Т1/2). Расположение вводов по умолчан"&amp;"ию 2П""Проходное"",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с внешним диаметром 6-12 мм в трубе Т1/2). Расположение вводов по умолчанию 2П"Проходное", 2У "Угловое" исполнение уточняется при заказе</v>
      </c>
      <c r="C49" s="9">
        <f ca="1">IFERROR(__xludf.DUMMYFUNCTION("""COMPUTED_VALUE"""),9680)</f>
        <v>9680</v>
      </c>
      <c r="D49" s="6"/>
      <c r="E49" s="8"/>
    </row>
    <row r="50" spans="1:5" ht="216.75">
      <c r="A50" s="5" t="str">
        <f ca="1">IFERROR(__xludf.DUMMYFUNCTION("""COMPUTED_VALUE"""),"УДП 535-Ехd «МОРОЗ» АТФЕ.425211.001 ТУ 
 ""ПУСК ПОЖАРОТУШЕНИЯ""")</f>
        <v>УДП 535-Ехd «МОРОЗ» АТФЕ.425211.001 ТУ 
 "ПУСК ПОЖАРОТУШЕНИЯ"</v>
      </c>
      <c r="B50"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желтый. Дополнительно комплектуется кабельными вводами из нержавеющей стали или никилерованной латуни, которые позволяю"&amp;"т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(угловой 2У и проходной 2П) и тремя (Т) отверстиями под кабельные вводы. "&amp;"Исполнение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желтый.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(угловой 2У и проходной 2П) и тремя (Т) отверстиями под кабельные вводы. Исполнение уточняется при заказе (по умолчанию 2П).</v>
      </c>
      <c r="C50" s="9">
        <f ca="1">IFERROR(__xludf.DUMMYFUNCTION("""COMPUTED_VALUE"""),7810)</f>
        <v>7810</v>
      </c>
      <c r="D50" s="6"/>
      <c r="E50" s="8"/>
    </row>
    <row r="51" spans="1:5" ht="229.5">
      <c r="A51" s="5" t="str">
        <f ca="1">IFERROR(__xludf.DUMMYFUNCTION("""COMPUTED_VALUE"""),"УДП 535-Ехd «МОРОЗ» АТФЕ.425211.001 ТУ 
 ""ДЫМОУДАЛЕНИЕ""")</f>
        <v>УДП 535-Ехd «МОРОЗ» АТФЕ.425211.001 ТУ 
 "ДЫМОУДАЛЕНИЕ"</v>
      </c>
      <c r="B51"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оранжевый. Дополнительно комплектуется кабельными вводами из нержавеющей стали или никилерованной латуни, которые позво"&amp;"ляют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ввод"&amp;"ы. 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оранжевый.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 Исполнение уточняется при заказе (по умолчанию 2П).</v>
      </c>
      <c r="C51" s="9">
        <f ca="1">IFERROR(__xludf.DUMMYFUNCTION("""COMPUTED_VALUE"""),7810)</f>
        <v>7810</v>
      </c>
      <c r="D51" s="6"/>
      <c r="E51" s="8"/>
    </row>
    <row r="52" spans="1:5" ht="216.75">
      <c r="A52" s="5" t="str">
        <f ca="1">IFERROR(__xludf.DUMMYFUNCTION("""COMPUTED_VALUE"""),"УДП 535-Ехd «МОРОЗ» АТФЕ.425211.001 ТУ 
 ""АВАРИЙНЫЙ ВЫХОД""")</f>
        <v>УДП 535-Ехd «МОРОЗ» АТФЕ.425211.001 ТУ 
 "АВАРИЙНЫЙ ВЫХОД"</v>
      </c>
      <c r="B52"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позволя"&amp;"ют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вводы."&amp;" 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 Исполнение уточняется при заказе (по умолчанию 2П).</v>
      </c>
      <c r="C52" s="9">
        <f ca="1">IFERROR(__xludf.DUMMYFUNCTION("""COMPUTED_VALUE"""),7766)</f>
        <v>7766</v>
      </c>
      <c r="D52" s="6"/>
      <c r="E52" s="8"/>
    </row>
    <row r="53" spans="1:5" ht="216.75">
      <c r="A53" s="5" t="str">
        <f ca="1">IFERROR(__xludf.DUMMYFUNCTION("""COMPUTED_VALUE"""),"УДП 535-Ехd «МОРОЗ» АТФЕ.425211.001 ТУ 
 ""РАЗБЛОКИРОВКА ДВЕРИ""")</f>
        <v>УДП 535-Ехd «МОРОЗ» АТФЕ.425211.001 ТУ 
 "РАЗБЛОКИРОВКА ДВЕРИ"</v>
      </c>
      <c r="B53"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позволя"&amp;"ют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вводы."&amp;" 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 Исполнение уточняется при заказе (по умолчанию 2П).</v>
      </c>
      <c r="C53" s="9">
        <f ca="1">IFERROR(__xludf.DUMMYFUNCTION("""COMPUTED_VALUE"""),7810)</f>
        <v>7810</v>
      </c>
      <c r="D53" s="6"/>
      <c r="E53" s="8"/>
    </row>
    <row r="54" spans="1:5" ht="51">
      <c r="A54" s="5" t="str">
        <f ca="1">IFERROR(__xludf.DUMMYFUNCTION("""COMPUTED_VALUE"""),"К-06 (нержавейка Ех) (193x120x98)")</f>
        <v>К-06 (нержавейка Ех) (193x120x98)</v>
      </c>
      <c r="B54" s="6" t="str">
        <f ca="1">IFERROR(__xludf.DUMMYFUNCTION("""COMPUTED_VALUE"""),"Для защиты от механического повреждения 
 и осадков. Из нержавеющей стали толщиной 0,5 мм.")</f>
        <v>Для защиты от механического повреждения 
 и осадков. Из нержавеющей стали толщиной 0,5 мм.</v>
      </c>
      <c r="C54" s="9">
        <f ca="1">IFERROR(__xludf.DUMMYFUNCTION("""COMPUTED_VALUE"""),1315.6)</f>
        <v>1315.6</v>
      </c>
      <c r="D54" s="6"/>
      <c r="E54" s="8"/>
    </row>
    <row r="55" spans="1:5" ht="63.75">
      <c r="A55" s="5" t="str">
        <f ca="1">IFERROR(__xludf.DUMMYFUNCTION("""COMPUTED_VALUE"""),"К-06 (S) (193x120x98)")</f>
        <v>К-06 (S) (193x120x98)</v>
      </c>
      <c r="B55" s="6" t="str">
        <f ca="1">IFERROR(__xludf.DUMMYFUNCTION("""COMPUTED_VALUE"""),"Для защиты от механического повреждения
  и осадков. Из стали Ст-3 толщиной 1 мм. Цвет – красный, желтый, оранжевый, зеленый (определяется при заказе).")</f>
        <v>Для защиты от механического повреждения
  и осадков. Из стали Ст-3 толщиной 1 мм. Цвет – красный, желтый, оранжевый, зеленый (определяется при заказе).</v>
      </c>
      <c r="C55" s="9">
        <f ca="1">IFERROR(__xludf.DUMMYFUNCTION("""COMPUTED_VALUE"""),1430)</f>
        <v>1430</v>
      </c>
      <c r="D55" s="6"/>
      <c r="E55" s="8"/>
    </row>
    <row r="56" spans="1:5" ht="76.5">
      <c r="A56" s="5" t="str">
        <f ca="1">IFERROR(__xludf.DUMMYFUNCTION("""COMPUTED_VALUE"""),"ДПГ NO 1 м FRLS АТФЕ.425119.197ПС")</f>
        <v>ДПГ NO 1 м FRLS АТФЕ.425119.197ПС</v>
      </c>
      <c r="B56" s="6" t="str">
        <f ca="1">IFERROR(__xludf.DUMMYFUNCTION("""COMPUTED_VALUE"""),"предназначен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f>
        <v>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v>
      </c>
      <c r="C56" s="9">
        <f ca="1">IFERROR(__xludf.DUMMYFUNCTION("""COMPUTED_VALUE"""),2153.8)</f>
        <v>2153.8000000000002</v>
      </c>
      <c r="D56" s="6"/>
      <c r="E56" s="8"/>
    </row>
    <row r="57" spans="1:5" ht="76.5">
      <c r="A57" s="5" t="str">
        <f ca="1">IFERROR(__xludf.DUMMYFUNCTION("""COMPUTED_VALUE"""),"ДПГ NAMUR 1 м FRLS АТФЕ.425119.197ПС")</f>
        <v>ДПГ NAMUR 1 м FRLS АТФЕ.425119.197ПС</v>
      </c>
      <c r="B57" s="6" t="str">
        <f ca="1">IFERROR(__xludf.DUMMYFUNCTION("""COMPUTED_VALUE"""),"предназначен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f>
        <v>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v>
      </c>
      <c r="C57" s="9">
        <f ca="1">IFERROR(__xludf.DUMMYFUNCTION("""COMPUTED_VALUE"""),2395.8)</f>
        <v>2395.8000000000002</v>
      </c>
      <c r="D57" s="6"/>
      <c r="E57" s="8"/>
    </row>
    <row r="58" spans="1:5" ht="76.5">
      <c r="A58" s="5" t="str">
        <f ca="1">IFERROR(__xludf.DUMMYFUNCTION("""COMPUTED_VALUE"""),"ДПГ NO/NC 1 м FRLS АТФЕ.425119.197ПС")</f>
        <v>ДПГ NO/NC 1 м FRLS АТФЕ.425119.197ПС</v>
      </c>
      <c r="B58" s="6" t="str">
        <f ca="1">IFERROR(__xludf.DUMMYFUNCTION("""COMPUTED_VALUE"""),"предназначен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f>
        <v>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v>
      </c>
      <c r="C58" s="9">
        <f ca="1">IFERROR(__xludf.DUMMYFUNCTION("""COMPUTED_VALUE"""),2395.8)</f>
        <v>2395.8000000000002</v>
      </c>
      <c r="D58" s="6"/>
      <c r="E58" s="8"/>
    </row>
    <row r="59" spans="1:5" ht="12.75">
      <c r="A59" s="5" t="str">
        <f ca="1">IFERROR(__xludf.DUMMYFUNCTION("""COMPUTED_VALUE"""),"СТС002")</f>
        <v>СТС002</v>
      </c>
      <c r="B59" s="6" t="str">
        <f ca="1">IFERROR(__xludf.DUMMYFUNCTION("""COMPUTED_VALUE"""),"подключение 4-х жильный провод, IP65")</f>
        <v>подключение 4-х жильный провод, IP65</v>
      </c>
      <c r="C59" s="9">
        <f ca="1">IFERROR(__xludf.DUMMYFUNCTION("""COMPUTED_VALUE"""),1188)</f>
        <v>1188</v>
      </c>
      <c r="D59" s="6"/>
      <c r="E59" s="8"/>
    </row>
    <row r="60" spans="1:5" ht="25.5">
      <c r="A60" s="5" t="str">
        <f ca="1">IFERROR(__xludf.DUMMYFUNCTION("""COMPUTED_VALUE"""),"СТС005")</f>
        <v>СТС005</v>
      </c>
      <c r="B60" s="6" t="str">
        <f ca="1">IFERROR(__xludf.DUMMYFUNCTION("""COMPUTED_VALUE"""),"подключение 4-х жильный провод в металлорукаве, IP65")</f>
        <v>подключение 4-х жильный провод в металлорукаве, IP65</v>
      </c>
      <c r="C60" s="9">
        <f ca="1">IFERROR(__xludf.DUMMYFUNCTION("""COMPUTED_VALUE"""),1287)</f>
        <v>1287</v>
      </c>
      <c r="D60" s="6"/>
      <c r="E60" s="8"/>
    </row>
    <row r="61" spans="1:5" ht="25.5">
      <c r="A61" s="5" t="str">
        <f ca="1">IFERROR(__xludf.DUMMYFUNCTION("""COMPUTED_VALUE"""),"СТС006")</f>
        <v>СТС006</v>
      </c>
      <c r="B61" s="6" t="str">
        <f ca="1">IFERROR(__xludf.DUMMYFUNCTION("""COMPUTED_VALUE"""),"переключающий контакт, подключение 5-ти жильный провод, IP65")</f>
        <v>переключающий контакт, подключение 5-ти жильный провод, IP65</v>
      </c>
      <c r="C61" s="9">
        <f ca="1">IFERROR(__xludf.DUMMYFUNCTION("""COMPUTED_VALUE"""),1465)</f>
        <v>1465</v>
      </c>
      <c r="D61" s="6"/>
      <c r="E61" s="8"/>
    </row>
    <row r="62" spans="1:5" ht="12.75">
      <c r="A62" s="5" t="str">
        <f ca="1">IFERROR(__xludf.DUMMYFUNCTION("""COMPUTED_VALUE"""),"СТС046")</f>
        <v>СТС046</v>
      </c>
      <c r="B62" s="6" t="str">
        <f ca="1">IFERROR(__xludf.DUMMYFUNCTION("""COMPUTED_VALUE"""),"подключение 4-х жильный провод, IP65")</f>
        <v>подключение 4-х жильный провод, IP65</v>
      </c>
      <c r="C62" s="9">
        <f ca="1">IFERROR(__xludf.DUMMYFUNCTION("""COMPUTED_VALUE"""),1584)</f>
        <v>1584</v>
      </c>
      <c r="D62" s="6"/>
      <c r="E62" s="8"/>
    </row>
    <row r="63" spans="1:5" ht="38.25">
      <c r="A63" s="5" t="str">
        <f ca="1">IFERROR(__xludf.DUMMYFUNCTION("""COMPUTED_VALUE"""),"СТС047")</f>
        <v>СТС047</v>
      </c>
      <c r="B63" s="6" t="str">
        <f ca="1">IFERROR(__xludf.DUMMYFUNCTION("""COMPUTED_VALUE"""),"подключение 5 клемм, возможность установки резистора и подключения тампера, IP55")</f>
        <v>подключение 5 клемм, возможность установки резистора и подключения тампера, IP55</v>
      </c>
      <c r="C63" s="9">
        <f ca="1">IFERROR(__xludf.DUMMYFUNCTION("""COMPUTED_VALUE"""),1584)</f>
        <v>1584</v>
      </c>
      <c r="D63" s="6"/>
      <c r="E63" s="8"/>
    </row>
    <row r="64" spans="1:5" ht="25.5">
      <c r="A64" s="5" t="str">
        <f ca="1">IFERROR(__xludf.DUMMYFUNCTION("""COMPUTED_VALUE"""),"СТС147")</f>
        <v>СТС147</v>
      </c>
      <c r="B64" s="6" t="str">
        <f ca="1">IFERROR(__xludf.DUMMYFUNCTION("""COMPUTED_VALUE"""),"переключающиеся контакты, 5 клемм (2 для подключения тампера), IP55")</f>
        <v>переключающиеся контакты, 5 клемм (2 для подключения тампера), IP55</v>
      </c>
      <c r="C64" s="9">
        <f ca="1">IFERROR(__xludf.DUMMYFUNCTION("""COMPUTED_VALUE"""),2376)</f>
        <v>2376</v>
      </c>
      <c r="D64" s="6"/>
      <c r="E64" s="8"/>
    </row>
    <row r="65" spans="1:5" ht="25.5">
      <c r="A65" s="5" t="str">
        <f ca="1">IFERROR(__xludf.DUMMYFUNCTION("""COMPUTED_VALUE"""),"Световод АЯКС PLP2-215")</f>
        <v>Световод АЯКС PLP2-215</v>
      </c>
      <c r="B65" s="6" t="str">
        <f ca="1">IFERROR(__xludf.DUMMYFUNCTION("""COMPUTED_VALUE"""),"Ø 3.3 мм, параллельное свечение, прозрачный поликарбонат (UL), UL94V-2")</f>
        <v>Ø 3.3 мм, параллельное свечение, прозрачный поликарбонат (UL), UL94V-2</v>
      </c>
      <c r="C65" s="9">
        <f ca="1">IFERROR(__xludf.DUMMYFUNCTION("""COMPUTED_VALUE"""),54)</f>
        <v>54</v>
      </c>
      <c r="D65" s="6"/>
      <c r="E65" s="8"/>
    </row>
    <row r="66" spans="1:5" ht="25.5">
      <c r="A66" s="5" t="str">
        <f ca="1">IFERROR(__xludf.DUMMYFUNCTION("""COMPUTED_VALUE"""),"Световод АЯКС LEM-5")</f>
        <v>Световод АЯКС LEM-5</v>
      </c>
      <c r="B66" s="6" t="str">
        <f ca="1">IFERROR(__xludf.DUMMYFUNCTION("""COMPUTED_VALUE"""),"Ø 5 мм, световод для светодиода, прозрачный поликарбонат (UL), UL94V-2")</f>
        <v>Ø 5 мм, световод для светодиода, прозрачный поликарбонат (UL), UL94V-2</v>
      </c>
      <c r="C66" s="9">
        <f ca="1">IFERROR(__xludf.DUMMYFUNCTION("""COMPUTED_VALUE"""),48)</f>
        <v>48</v>
      </c>
      <c r="D66" s="6"/>
      <c r="E66" s="8"/>
    </row>
    <row r="67" spans="1:5" ht="12.75">
      <c r="A67" s="5" t="str">
        <f ca="1">IFERROR(__xludf.DUMMYFUNCTION("""COMPUTED_VALUE"""),"Световод АЯКС PLP2-625")</f>
        <v>Световод АЯКС PLP2-625</v>
      </c>
      <c r="B67" s="6"/>
      <c r="C67" s="9">
        <f ca="1">IFERROR(__xludf.DUMMYFUNCTION("""COMPUTED_VALUE"""),86)</f>
        <v>86</v>
      </c>
      <c r="D67" s="6"/>
      <c r="E67" s="8"/>
    </row>
    <row r="68" spans="1:5" ht="127.5">
      <c r="A68" s="5" t="str">
        <f ca="1">IFERROR(__xludf.DUMMYFUNCTION("""COMPUTED_VALUE"""),"Ограничитель дверной Стопор-Ех АЯКС (нержавейка Ех) напольный")</f>
        <v>Ограничитель дверной Стопор-Ех АЯКС (нержавейка Ех) напольный</v>
      </c>
      <c r="B68" s="6" t="str">
        <f ca="1">IFERROR(__xludf.DUMMYFUNCTION("""COMPUTED_VALUE"""),"Ограничитель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полотн"&amp;"о от повреждений. Подходит как для входных так и межкомнатных дверей.")</f>
        <v>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полотно от повреждений. Подходит как для входных так и межкомнатных дверей.</v>
      </c>
      <c r="C68" s="9">
        <f ca="1">IFERROR(__xludf.DUMMYFUNCTION("""COMPUTED_VALUE"""),2860)</f>
        <v>2860</v>
      </c>
      <c r="D68" s="6"/>
      <c r="E68" s="8"/>
    </row>
    <row r="69" spans="1:5" ht="127.5">
      <c r="A69" s="5" t="str">
        <f ca="1">IFERROR(__xludf.DUMMYFUNCTION("""COMPUTED_VALUE"""),"Ограничитель дверной Стопор-Ех АЯКС (нержавейка Ех) универсальный")</f>
        <v>Ограничитель дверной Стопор-Ех АЯКС (нержавейка Ех) универсальный</v>
      </c>
      <c r="B69" s="6" t="str">
        <f ca="1">IFERROR(__xludf.DUMMYFUNCTION("""COMPUTED_VALUE"""),"Ограничитель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полотн"&amp;"о от повреждений. Подходит как для входных так и межкомнатных дверей.")</f>
        <v>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полотно от повреждений. Подходит как для входных так и межкомнатных дверей.</v>
      </c>
      <c r="C69" s="9">
        <f ca="1">IFERROR(__xludf.DUMMYFUNCTION("""COMPUTED_VALUE"""),6600)</f>
        <v>6600</v>
      </c>
      <c r="D69" s="6"/>
      <c r="E69" s="8"/>
    </row>
    <row r="70" spans="1:5" ht="153">
      <c r="A70" s="5" t="str">
        <f ca="1">IFERROR(__xludf.DUMMYFUNCTION("""COMPUTED_VALUE"""),"Рукав пожарный для создания водяных завес")</f>
        <v>Рукав пожарный для создания водяных завес</v>
      </c>
      <c r="B70" s="6" t="str">
        <f ca="1">IFERROR(__xludf.DUMMYFUNCTION("""COMPUTED_VALUE"""),"Рукав поставляется с навязанными соединительными головками ГР-50. Основа рукава для создания водяных завес: напорный рукав с повышенной стойкостью к истиранию (абразивному износу), воздействию масел и различных нефтепродуктов. Рукав имеет внутреннее гидро"&amp;"изоляционное и наружное защитное покрытие: по всей длине рукава, через каждые 50 см, встроены специальные сменные дюзы, выполненные из нержавеющей стали.")</f>
        <v>Рукав поставляется с навязанными соединительными головками ГР-50. Основа рукава для создания водяных завес: напорный рукав с повышенной стойкостью к истиранию (абразивному износу), воздействию масел и различных нефтепродуктов. Рукав имеет внутреннее гидроизоляционное и наружное защитное покрытие: по всей длине рукава, через каждые 50 см, встроены специальные сменные дюзы, выполненные из нержавеющей стали.</v>
      </c>
      <c r="C70" s="9">
        <f ca="1">IFERROR(__xludf.DUMMYFUNCTION("""COMPUTED_VALUE"""),26400)</f>
        <v>26400</v>
      </c>
      <c r="D70" s="6"/>
      <c r="E70" s="8"/>
    </row>
    <row r="71" spans="1:5" ht="25.5">
      <c r="A71" s="5" t="str">
        <f ca="1">IFERROR(__xludf.DUMMYFUNCTION("""COMPUTED_VALUE"""),"Оповещатель звуковой «АЛАБАЙ» исп. 00
АТФЕ 425542.193")</f>
        <v>Оповещатель звуковой «АЛАБАЙ» исп. 00
АТФЕ 425542.193</v>
      </c>
      <c r="B71" s="6" t="str">
        <f ca="1">IFERROR(__xludf.DUMMYFUNCTION("""COMPUTED_VALUE"""),"Однотональный, 95±3 дБ, гермовводы, питание 12В, IP54")</f>
        <v>Однотональный, 95±3 дБ, гермовводы, питание 12В, IP54</v>
      </c>
      <c r="C71" s="9">
        <f ca="1">IFERROR(__xludf.DUMMYFUNCTION("""COMPUTED_VALUE"""),1076.9)</f>
        <v>1076.9000000000001</v>
      </c>
      <c r="D71" s="6"/>
      <c r="E71" s="8"/>
    </row>
    <row r="72" spans="1:5" ht="38.25">
      <c r="A72" s="5" t="str">
        <f ca="1">IFERROR(__xludf.DUMMYFUNCTION("""COMPUTED_VALUE"""),"Оповещатель звуковой «АЛАБАЙ» исп.01
АТФЕ 425542.193")</f>
        <v>Оповещатель звуковой «АЛАБАЙ» исп.01
АТФЕ 425542.193</v>
      </c>
      <c r="B72" s="6" t="str">
        <f ca="1">IFERROR(__xludf.DUMMYFUNCTION("""COMPUTED_VALUE"""),"Многотональный (с возможностью выбора тона), 95±3 дБ, гермовводы, питание 12В, IP54")</f>
        <v>Многотональный (с возможностью выбора тона), 95±3 дБ, гермовводы, питание 12В, IP54</v>
      </c>
      <c r="C72" s="9">
        <f ca="1">IFERROR(__xludf.DUMMYFUNCTION("""COMPUTED_VALUE"""),2299)</f>
        <v>2299</v>
      </c>
      <c r="D72" s="6"/>
      <c r="E72" s="8"/>
    </row>
    <row r="73" spans="1:5" ht="51">
      <c r="A73" s="5" t="str">
        <f ca="1">IFERROR(__xludf.DUMMYFUNCTION("""COMPUTED_VALUE"""),"Оповещатель звуковой «АЛАБАЙ» исп.02
АТФЕ 425542.193")</f>
        <v>Оповещатель звуковой «АЛАБАЙ» исп.02
АТФЕ 425542.193</v>
      </c>
      <c r="B73" s="6" t="str">
        <f ca="1">IFERROR(__xludf.DUMMYFUNCTION("""COMPUTED_VALUE"""),"Многотональный (с возможностью выбора тона), 95±3 дБ, Вывод КСПВГ(2х0,2) длина 0,5м Ø3 мм, питание 12В, IP54")</f>
        <v>Многотональный (с возможностью выбора тона), 95±3 дБ, Вывод КСПВГ(2х0,2) длина 0,5м Ø3 мм, питание 12В, IP54</v>
      </c>
      <c r="C73" s="9">
        <f ca="1">IFERROR(__xludf.DUMMYFUNCTION("""COMPUTED_VALUE"""),2395.8)</f>
        <v>2395.8000000000002</v>
      </c>
      <c r="D73" s="6"/>
      <c r="E73" s="8"/>
    </row>
    <row r="74" spans="1:5" ht="25.5">
      <c r="A74" s="5" t="str">
        <f ca="1">IFERROR(__xludf.DUMMYFUNCTION("""COMPUTED_VALUE"""),"Оповещатель звуковой «АЛАБАЙ» исп.03
АТФЕ 425542.193")</f>
        <v>Оповещатель звуковой «АЛАБАЙ» исп.03
АТФЕ 425542.193</v>
      </c>
      <c r="B74" s="6" t="str">
        <f ca="1">IFERROR(__xludf.DUMMYFUNCTION("""COMPUTED_VALUE"""),"Однотональный, 95±3 дБ, гермовводы, питание 24В, IP54")</f>
        <v>Однотональный, 95±3 дБ, гермовводы, питание 24В, IP54</v>
      </c>
      <c r="C74" s="9">
        <f ca="1">IFERROR(__xludf.DUMMYFUNCTION("""COMPUTED_VALUE"""),1076.9)</f>
        <v>1076.9000000000001</v>
      </c>
      <c r="D74" s="6"/>
      <c r="E74" s="8"/>
    </row>
    <row r="75" spans="1:5" ht="38.25">
      <c r="A75" s="5" t="str">
        <f ca="1">IFERROR(__xludf.DUMMYFUNCTION("""COMPUTED_VALUE"""),"Оповещатель звуковой «АЛАБАЙ» исп.04
АТФЕ 425542.193")</f>
        <v>Оповещатель звуковой «АЛАБАЙ» исп.04
АТФЕ 425542.193</v>
      </c>
      <c r="B75" s="6" t="str">
        <f ca="1">IFERROR(__xludf.DUMMYFUNCTION("""COMPUTED_VALUE"""),"Многотональный (с возможностью выбора тона), 95±3 дБ, гермовводы, питание 24В, IP54")</f>
        <v>Многотональный (с возможностью выбора тона), 95±3 дБ, гермовводы, питание 24В, IP54</v>
      </c>
      <c r="C75" s="9">
        <f ca="1">IFERROR(__xludf.DUMMYFUNCTION("""COMPUTED_VALUE"""),2299)</f>
        <v>2299</v>
      </c>
      <c r="D75" s="6"/>
      <c r="E75" s="8"/>
    </row>
    <row r="76" spans="1:5" ht="25.5">
      <c r="A76" s="5" t="str">
        <f ca="1">IFERROR(__xludf.DUMMYFUNCTION("""COMPUTED_VALUE"""),"Оповещатель звуковой «АЛАБАЙ» исп.05
АТФЕ 425542.193")</f>
        <v>Оповещатель звуковой «АЛАБАЙ» исп.05
АТФЕ 425542.193</v>
      </c>
      <c r="B76" s="6" t="str">
        <f ca="1">IFERROR(__xludf.DUMMYFUNCTION("""COMPUTED_VALUE"""),"Однотональный, 105 дБ, питание 24В, IP66")</f>
        <v>Однотональный, 105 дБ, питание 24В, IP66</v>
      </c>
      <c r="C76" s="9">
        <f ca="1">IFERROR(__xludf.DUMMYFUNCTION("""COMPUTED_VALUE"""),5445)</f>
        <v>5445</v>
      </c>
      <c r="D76" s="6"/>
      <c r="E76" s="8"/>
    </row>
    <row r="77" spans="1:5" ht="51">
      <c r="A77" s="5" t="str">
        <f ca="1">IFERROR(__xludf.DUMMYFUNCTION("""COMPUTED_VALUE"""),"Оповещатель звуковой «АЛАБАЙ» исп.06
АТФЕ 425542.193")</f>
        <v>Оповещатель звуковой «АЛАБАЙ» исп.06
АТФЕ 425542.193</v>
      </c>
      <c r="B77" s="6" t="str">
        <f ca="1">IFERROR(__xludf.DUMMYFUNCTION("""COMPUTED_VALUE"""),"Многотональный (с возможностью выбора тона), 95±3 дБ, Вывод КСПВГ(2х0,2) длина 0,5м Ø3 мм, питание 24В, IP54")</f>
        <v>Многотональный (с возможностью выбора тона), 95±3 дБ, Вывод КСПВГ(2х0,2) длина 0,5м Ø3 мм, питание 24В, IP54</v>
      </c>
      <c r="C77" s="9">
        <f ca="1">IFERROR(__xludf.DUMMYFUNCTION("""COMPUTED_VALUE"""),2395.8)</f>
        <v>2395.8000000000002</v>
      </c>
      <c r="D77" s="6"/>
      <c r="E77" s="8"/>
    </row>
    <row r="78" spans="1:5" ht="51">
      <c r="A78" s="5" t="str">
        <f ca="1">IFERROR(__xludf.DUMMYFUNCTION("""COMPUTED_VALUE"""),"Оповещатель звуковой «АЛАБАЙ» исп.07
АТФЕ 425542.193")</f>
        <v>Оповещатель звуковой «АЛАБАЙ» исп.07
АТФЕ 425542.193</v>
      </c>
      <c r="B78" s="6" t="str">
        <f ca="1">IFERROR(__xludf.DUMMYFUNCTION("""COMPUTED_VALUE"""),"Свето-звуковой комбинированный, многотональный (с возможностью выбора тона), 95±3 дБ, гермовводы, питание 12В, IP54")</f>
        <v>Свето-звуковой комбинированный, многотональный (с возможностью выбора тона), 95±3 дБ, гермовводы, питание 12В, IP54</v>
      </c>
      <c r="C78" s="9">
        <f ca="1">IFERROR(__xludf.DUMMYFUNCTION("""COMPUTED_VALUE"""),3330)</f>
        <v>3330</v>
      </c>
      <c r="D78" s="6"/>
      <c r="E78" s="8"/>
    </row>
    <row r="79" spans="1:5" ht="51">
      <c r="A79" s="5" t="str">
        <f ca="1">IFERROR(__xludf.DUMMYFUNCTION("""COMPUTED_VALUE"""),"Оповещатель звуковой «АЛАБАЙ» исп.08 
АТФЕ 425542.193")</f>
        <v>Оповещатель звуковой «АЛАБАЙ» исп.08 
АТФЕ 425542.193</v>
      </c>
      <c r="B79" s="6" t="str">
        <f ca="1">IFERROR(__xludf.DUMMYFUNCTION("""COMPUTED_VALUE"""),"Свето-звуковой комбинированный, многотональный (с возможностью выбора тона), 95±3 дБ, гермовводы, питание 24В, IP54")</f>
        <v>Свето-звуковой комбинированный, многотональный (с возможностью выбора тона), 95±3 дБ, гермовводы, питание 24В, IP54</v>
      </c>
      <c r="C79" s="9">
        <f ca="1">IFERROR(__xludf.DUMMYFUNCTION("""COMPUTED_VALUE"""),3330)</f>
        <v>3330</v>
      </c>
      <c r="D79" s="6"/>
      <c r="E79" s="8"/>
    </row>
    <row r="80" spans="1:5" ht="63.75">
      <c r="A80" s="5" t="str">
        <f ca="1">IFERROR(__xludf.DUMMYFUNCTION("""COMPUTED_VALUE"""),"Оповещатель звуковой «АЛАБАЙ» исп.220
АТФЕ 425542.193")</f>
        <v>Оповещатель звуковой «АЛАБАЙ» исп.220
АТФЕ 425542.193</v>
      </c>
      <c r="B80" s="6" t="str">
        <f ca="1">IFERROR(__xludf.DUMMYFUNCTION("""COMPUTED_VALUE"""),"220В, Многотональный (с возможностью выбора тона)
- 95±3 дБ
- гермовводы, клеммы WAGO в комплекте ")</f>
        <v xml:space="preserve">220В, Многотональный (с возможностью выбора тона)
- 95±3 дБ
- гермовводы, клеммы WAGO в комплекте </v>
      </c>
      <c r="C80" s="9">
        <f ca="1">IFERROR(__xludf.DUMMYFUNCTION("""COMPUTED_VALUE"""),3840)</f>
        <v>3840</v>
      </c>
      <c r="D80" s="6"/>
      <c r="E80" s="8"/>
    </row>
    <row r="81" spans="1:5" ht="25.5">
      <c r="A81" s="5" t="str">
        <f ca="1">IFERROR(__xludf.DUMMYFUNCTION("""COMPUTED_VALUE"""),"Оповещатель звуковой «АЯКС» IP66")</f>
        <v>Оповещатель звуковой «АЯКС» IP66</v>
      </c>
      <c r="B81" s="6" t="str">
        <f ca="1">IFERROR(__xludf.DUMMYFUNCTION("""COMPUTED_VALUE"""),"Оповещатель звуковой, 12/24 В, 85 дБ, IP66, подключение - провод.")</f>
        <v>Оповещатель звуковой, 12/24 В, 85 дБ, IP66, подключение - провод.</v>
      </c>
      <c r="C81" s="9">
        <f ca="1">IFERROR(__xludf.DUMMYFUNCTION("""COMPUTED_VALUE"""),4950)</f>
        <v>4950</v>
      </c>
      <c r="D81" s="6"/>
      <c r="E81" s="8"/>
    </row>
    <row r="82" spans="1:5" ht="25.5">
      <c r="A82" s="5" t="str">
        <f ca="1">IFERROR(__xludf.DUMMYFUNCTION("""COMPUTED_VALUE"""),"Оповещатель звуковой АЯКС-12")</f>
        <v>Оповещатель звуковой АЯКС-12</v>
      </c>
      <c r="B82" s="6" t="str">
        <f ca="1">IFERROR(__xludf.DUMMYFUNCTION("""COMPUTED_VALUE"""),"Оповещатель звуковой, 12 В, 100 дБ, IP40, подключение - провод.")</f>
        <v>Оповещатель звуковой, 12 В, 100 дБ, IP40, подключение - провод.</v>
      </c>
      <c r="C82" s="9">
        <f ca="1">IFERROR(__xludf.DUMMYFUNCTION("""COMPUTED_VALUE"""),980)</f>
        <v>980</v>
      </c>
      <c r="D82" s="6"/>
      <c r="E82" s="8"/>
    </row>
    <row r="83" spans="1:5" ht="25.5">
      <c r="A83" s="5" t="str">
        <f ca="1">IFERROR(__xludf.DUMMYFUNCTION("""COMPUTED_VALUE"""),"Оповещатель звуковой АЯКС-24")</f>
        <v>Оповещатель звуковой АЯКС-24</v>
      </c>
      <c r="B83" s="6" t="str">
        <f ca="1">IFERROR(__xludf.DUMMYFUNCTION("""COMPUTED_VALUE"""),"Оповещатель звуковой, 24 В, 100 дБ, IP40, подключение - провод.")</f>
        <v>Оповещатель звуковой, 24 В, 100 дБ, IP40, подключение - провод.</v>
      </c>
      <c r="C83" s="9">
        <f ca="1">IFERROR(__xludf.DUMMYFUNCTION("""COMPUTED_VALUE"""),980)</f>
        <v>980</v>
      </c>
      <c r="D83" s="6"/>
      <c r="E83" s="8"/>
    </row>
    <row r="84" spans="1:5" ht="127.5">
      <c r="A84" s="5" t="str">
        <f ca="1">IFERROR(__xludf.DUMMYFUNCTION("""COMPUTED_VALUE"""),"МК04 (А) А110 200
АТФЕ.425119.191ТУ")</f>
        <v>МК04 (А) А110 200
АТФЕ.425119.191ТУ</v>
      </c>
      <c r="B84" s="6" t="str">
        <f ca="1">IFERROR(__xludf.DUMMYFUNCTION("""COMPUTED_VALUE"""),"Универсальный ультраминиатюрный (23х14х6 мм) датчик положения, для установки на все типы поверхностей. Нормально разомкнутый, вывод 200мм. Расстояние срабатывания/ восстановления: на магнитоактивной поверхности 6/10 мм, на магнитопассивной поверхности 15/"&amp;"20мм. Температура окружающей среды от -50 до +70 °С")</f>
        <v>Универсальный ультраминиатюрный (23х14х6 мм) датчик положения, для установки на все типы поверхностей. Нормально разомкнутый, вывод 200мм. Расстояние срабатывания/ восстановления: на магнитоактивной поверхности 6/10 мм, на магнитопассивной поверхности 15/20мм. Температура окружающей среды от -50 до +70 °С</v>
      </c>
      <c r="C84" s="9">
        <f ca="1">IFERROR(__xludf.DUMMYFUNCTION("""COMPUTED_VALUE"""),365)</f>
        <v>365</v>
      </c>
      <c r="D84" s="6"/>
      <c r="E84" s="8"/>
    </row>
    <row r="85" spans="1:5" ht="153">
      <c r="A85" s="5" t="str">
        <f ca="1">IFERROR(__xludf.DUMMYFUNCTION("""COMPUTED_VALUE"""),"МК04 (А) В110 200
АТФЕ.425119.191ТУ")</f>
        <v>МК04 (А) В110 200
АТФЕ.425119.191ТУ</v>
      </c>
      <c r="B85" s="6" t="str">
        <f ca="1">IFERROR(__xludf.DUMMYFUNCTION("""COMPUTED_VALUE"""),"Универсальный ультраминиатюрный (23х14х6 
 мм), датчик положения, для установки на все типы поверхностей. Нормально разомкнутый, вывод 200мм, коммутируемое напряжение до 180 В. Расстояние срабатывания/ восстановления: на магнитоактивной поверхности 6/10 м"&amp;"м, на магнитопассивной поверхности 11/18мм. Температура окружающей среды от -50 до +70 °С")</f>
        <v>Универсальный ультраминиатюрный (23х14х6 
 мм), датчик положения, для установки на все типы поверхностей. Нормально разомкнутый, вывод 200мм, коммутируемое напряжение до 180 В. Расстояние срабатывания/ восстановления: на магнитоактивной поверхности 6/10 мм, на магнитопассивной поверхности 11/18мм. Температура окружающей среды от -50 до +70 °С</v>
      </c>
      <c r="C85" s="9">
        <f ca="1">IFERROR(__xludf.DUMMYFUNCTION("""COMPUTED_VALUE"""),477)</f>
        <v>477</v>
      </c>
      <c r="D85" s="6"/>
      <c r="E85" s="8"/>
    </row>
    <row r="86" spans="1:5" ht="127.5">
      <c r="A86" s="5" t="str">
        <f ca="1">IFERROR(__xludf.DUMMYFUNCTION("""COMPUTED_VALUE"""),"МК04 (В) А104 200
АТФЕ.425119.191ТУ")</f>
        <v>МК04 (В) А104 200
АТФЕ.425119.191ТУ</v>
      </c>
      <c r="B86" s="6" t="str">
        <f ca="1">IFERROR(__xludf.DUMMYFUNCTION("""COMPUTED_VALUE"""),"Универсальный ультраминиатюрный (23х14х6
  мм) датчик положения, для установки на все типы поверхностей. Нормально замкнутый, вывод 200мм. Расстояние срабатывания/ восстановления: на магнитоактивной поверхности 6/10 мм, на магнитопассивной поверхности 11/"&amp;"15мм. Температура окружающей среды от -50 до +70 °С")</f>
        <v>Универсальный ультраминиатюрный (23х14х6
  мм) датчик положения, для установки на все типы поверхностей. Нормально замкнутый, вывод 200мм. Расстояние срабатывания/ восстановления: на магнитоактивной поверхности 6/10 мм, на магнитопассивной поверхности 11/15мм. Температура окружающей среды от -50 до +70 °С</v>
      </c>
      <c r="C86" s="9">
        <f ca="1">IFERROR(__xludf.DUMMYFUNCTION("""COMPUTED_VALUE"""),600)</f>
        <v>600</v>
      </c>
      <c r="D86" s="6"/>
      <c r="E86" s="8"/>
    </row>
    <row r="87" spans="1:5" ht="140.25">
      <c r="A87" s="5" t="str">
        <f ca="1">IFERROR(__xludf.DUMMYFUNCTION("""COMPUTED_VALUE"""),"МК04 (С) А104 200
АТФЕ.425119.191ТУ")</f>
        <v>МК04 (С) А104 200
АТФЕ.425119.191ТУ</v>
      </c>
      <c r="B87" s="6" t="str">
        <f ca="1">IFERROR(__xludf.DUMMYFUNCTION("""COMPUTED_VALUE"""),"Универсальный ультраминиатюрный (23х14х6
  мм) датчик положения, для установки на все типы поверхностей. Переключающий контакт, вывод 200мм. Расстояние срабатывания/ восстановления: на магнитоактивной поверхности 6/10 мм, на магнитопассивной поверхности 1"&amp;"1/15мм. Температура окружающей среды от -50 до +70 °С")</f>
        <v>Универсальный ультраминиатюрный (23х14х6
  мм) датчик положения, для установки на все типы поверхностей. Переключающий контакт, вывод 200мм. Расстояние срабатывания/ восстановления: на магнитоактивной поверхности 6/10 мм, на магнитопассивной поверхности 11/15мм. Температура окружающей среды от -50 до +70 °С</v>
      </c>
      <c r="C87" s="9">
        <f ca="1">IFERROR(__xludf.DUMMYFUNCTION("""COMPUTED_VALUE"""),600)</f>
        <v>600</v>
      </c>
      <c r="D87" s="6"/>
      <c r="E87" s="8"/>
    </row>
    <row r="88" spans="1:5" ht="89.25">
      <c r="A88" s="5" t="str">
        <f ca="1">IFERROR(__xludf.DUMMYFUNCTION("""COMPUTED_VALUE"""),"Монтажная коробка ""МК+Видео Гранд"", IP66/67 Белая")</f>
        <v>Монтажная коробка "МК+Видео Гранд", IP66/67 Белая</v>
      </c>
      <c r="B88" s="6" t="str">
        <f ca="1">IFERROR(__xludf.DUMMYFUNCTION("""COMPUTED_VALUE"""),"""глухая"",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f>
        <v>"глухая",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v>
      </c>
      <c r="C88" s="9">
        <f ca="1">IFERROR(__xludf.DUMMYFUNCTION("""COMPUTED_VALUE"""),855)</f>
        <v>855</v>
      </c>
      <c r="D88" s="6"/>
      <c r="E88" s="8"/>
    </row>
    <row r="89" spans="1:5" ht="89.25">
      <c r="A89" s="5" t="str">
        <f ca="1">IFERROR(__xludf.DUMMYFUNCTION("""COMPUTED_VALUE"""),"Монтажная коробка ""МК+Видео Гранд"", IP66/67 Черная")</f>
        <v>Монтажная коробка "МК+Видео Гранд", IP66/67 Черная</v>
      </c>
      <c r="B89" s="6" t="str">
        <f ca="1">IFERROR(__xludf.DUMMYFUNCTION("""COMPUTED_VALUE"""),"""глухая"",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f>
        <v>"глухая",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v>
      </c>
      <c r="C89" s="9">
        <f ca="1">IFERROR(__xludf.DUMMYFUNCTION("""COMPUTED_VALUE"""),855)</f>
        <v>855</v>
      </c>
      <c r="D89" s="6"/>
      <c r="E89" s="8"/>
    </row>
    <row r="90" spans="1:5" ht="89.25">
      <c r="A90" s="5" t="str">
        <f ca="1">IFERROR(__xludf.DUMMYFUNCTION("""COMPUTED_VALUE"""),"Монтажная коробка ""МК+Видео Гранд"", IP66/67 Белая, исп.01")</f>
        <v>Монтажная коробка "МК+Видео Гранд", IP66/67 Белая, исп.01</v>
      </c>
      <c r="B90" s="6" t="str">
        <f ca="1">IFERROR(__xludf.DUMMYFUNCTION("""COMPUTED_VALUE"""),"с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0" s="9">
        <f ca="1">IFERROR(__xludf.DUMMYFUNCTION("""COMPUTED_VALUE"""),924)</f>
        <v>924</v>
      </c>
      <c r="D90" s="6"/>
      <c r="E90" s="8"/>
    </row>
    <row r="91" spans="1:5" ht="89.25">
      <c r="A91" s="5" t="str">
        <f ca="1">IFERROR(__xludf.DUMMYFUNCTION("""COMPUTED_VALUE"""),"Монтажная коробка ""МК+Видео Гранд"", IP66/67 Черная, исп.01")</f>
        <v>Монтажная коробка "МК+Видео Гранд", IP66/67 Черная, исп.01</v>
      </c>
      <c r="B91" s="6" t="str">
        <f ca="1">IFERROR(__xludf.DUMMYFUNCTION("""COMPUTED_VALUE"""),"с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1" s="9">
        <f ca="1">IFERROR(__xludf.DUMMYFUNCTION("""COMPUTED_VALUE"""),924)</f>
        <v>924</v>
      </c>
      <c r="D91" s="6"/>
      <c r="E91" s="8"/>
    </row>
    <row r="92" spans="1:5" ht="102">
      <c r="A92" s="5" t="str">
        <f ca="1">IFERROR(__xludf.DUMMYFUNCTION("""COMPUTED_VALUE"""),"Монтажная коробка ""МК+Видео Гранд"", IP66/67 Белая, исп.02")</f>
        <v>Монтажная коробка "МК+Видео Гранд", IP66/67 Белая, исп.02</v>
      </c>
      <c r="B92" s="6" t="str">
        <f ca="1">IFERROR(__xludf.DUMMYFUNCTION("""COMPUTED_VALUE"""),"с внешним креплением через 4 -ре ""проушины"",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2" s="9">
        <f ca="1">IFERROR(__xludf.DUMMYFUNCTION("""COMPUTED_VALUE"""),968)</f>
        <v>968</v>
      </c>
      <c r="D92" s="6"/>
      <c r="E92" s="8"/>
    </row>
    <row r="93" spans="1:5" ht="76.5">
      <c r="A93" s="5" t="str">
        <f ca="1">IFERROR(__xludf.DUMMYFUNCTION("""COMPUTED_VALUE"""),"Монтажная коробка ""МК+Видео Гранд"", IP66/67 Черная, исп.02")</f>
        <v>Монтажная коробка "МК+Видео Гранд", IP66/67 Черная, исп.02</v>
      </c>
      <c r="B93" s="6" t="str">
        <f ca="1">IFERROR(__xludf.DUMMYFUNCTION("""COMPUTED_VALUE"""),"с внешним креплением через 4-ре ""проушины"", IP66/67, усиленная, предназначена для наружной установки крупногабаритных камер видеонаблюдения, накладная. 180х180х97, материал пластик")</f>
        <v>с внешним креплением через 4-ре "проушины", IP66/67, усиленная, предназначена для наружной установки крупногабаритных камер видеонаблюдения, накладная. 180х180х97, материал пластик</v>
      </c>
      <c r="C93" s="9">
        <f ca="1">IFERROR(__xludf.DUMMYFUNCTION("""COMPUTED_VALUE"""),968)</f>
        <v>968</v>
      </c>
      <c r="D93" s="6"/>
      <c r="E93" s="8"/>
    </row>
    <row r="94" spans="1:5" ht="114.75">
      <c r="A94" s="5" t="str">
        <f ca="1">IFERROR(__xludf.DUMMYFUNCTION("""COMPUTED_VALUE"""),"Монтажная коробка ""МК+Видео Гранд"", IP66/67 Белая, исп.03")</f>
        <v>Монтажная коробка "МК+Видео Гранд", IP66/67 Белая, исп.03</v>
      </c>
      <c r="B94" s="6" t="str">
        <f ca="1">IFERROR(__xludf.DUMMYFUNCTION("""COMPUTED_VALUE"""),"с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пит"&amp;"ания и АКБ 12В 7А/ч, материал пластик")</f>
        <v>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4" s="9">
        <f ca="1">IFERROR(__xludf.DUMMYFUNCTION("""COMPUTED_VALUE"""),1030)</f>
        <v>1030</v>
      </c>
      <c r="D94" s="6"/>
      <c r="E94" s="8"/>
    </row>
    <row r="95" spans="1:5" ht="114.75">
      <c r="A95" s="5" t="str">
        <f ca="1">IFERROR(__xludf.DUMMYFUNCTION("""COMPUTED_VALUE"""),"Монтажная коробка ""МК+Видео Гранд"", IP66/67 Черная, исп.03")</f>
        <v>Монтажная коробка "МК+Видео Гранд", IP66/67 Черная, исп.03</v>
      </c>
      <c r="B95" s="6" t="str">
        <f ca="1">IFERROR(__xludf.DUMMYFUNCTION("""COMPUTED_VALUE"""),"с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пит"&amp;"ания и АКБ 12В 7А/ч, материал пластик")</f>
        <v>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5" s="9">
        <f ca="1">IFERROR(__xludf.DUMMYFUNCTION("""COMPUTED_VALUE"""),1030)</f>
        <v>1030</v>
      </c>
      <c r="D95" s="6"/>
      <c r="E95" s="8"/>
    </row>
    <row r="96" spans="1:5" ht="89.25">
      <c r="A96" s="5" t="str">
        <f ca="1">IFERROR(__xludf.DUMMYFUNCTION("""COMPUTED_VALUE"""),"Монтажная коробка ""МК+Видео Гранд"", IP66/67 белая, исп.04")</f>
        <v>Монтажная коробка "МК+Видео Гранд", IP66/67 белая, исп.04</v>
      </c>
      <c r="B96" s="6" t="str">
        <f ca="1">IFERROR(__xludf.DUMMYFUNCTION("""COMPUTED_VALUE"""),"С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f>
        <v>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v>
      </c>
      <c r="C96" s="9">
        <f ca="1">IFERROR(__xludf.DUMMYFUNCTION("""COMPUTED_VALUE"""),1078)</f>
        <v>1078</v>
      </c>
      <c r="D96" s="6"/>
      <c r="E96" s="8"/>
    </row>
    <row r="97" spans="1:5" ht="89.25">
      <c r="A97" s="5" t="str">
        <f ca="1">IFERROR(__xludf.DUMMYFUNCTION("""COMPUTED_VALUE"""),"Монтажная коробка ""МК+Видео Гранд"", IP66/67 Черная, исп.04")</f>
        <v>Монтажная коробка "МК+Видео Гранд", IP66/67 Черная, исп.04</v>
      </c>
      <c r="B97" s="6" t="str">
        <f ca="1">IFERROR(__xludf.DUMMYFUNCTION("""COMPUTED_VALUE"""),"С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f>
        <v>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v>
      </c>
      <c r="C97" s="9">
        <f ca="1">IFERROR(__xludf.DUMMYFUNCTION("""COMPUTED_VALUE"""),1078)</f>
        <v>1078</v>
      </c>
      <c r="D97" s="6"/>
      <c r="E97" s="8"/>
    </row>
    <row r="98" spans="1:5" ht="89.25">
      <c r="A98" s="5" t="str">
        <f ca="1">IFERROR(__xludf.DUMMYFUNCTION("""COMPUTED_VALUE"""),"Монтажная коробка ""МК+Видео Гранд"", IP66/67 Белая, исп.05")</f>
        <v>Монтажная коробка "МК+Видео Гранд", IP66/67 Белая, исп.05</v>
      </c>
      <c r="B98" s="6" t="str">
        <f ca="1">IFERROR(__xludf.DUMMYFUNCTION("""COMPUTED_VALUE"""),"С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f>
        <v>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v>
      </c>
      <c r="C98" s="9">
        <f ca="1">IFERROR(__xludf.DUMMYFUNCTION("""COMPUTED_VALUE"""),1034)</f>
        <v>1034</v>
      </c>
      <c r="D98" s="6"/>
      <c r="E98" s="8"/>
    </row>
    <row r="99" spans="1:5" ht="89.25">
      <c r="A99" s="5" t="str">
        <f ca="1">IFERROR(__xludf.DUMMYFUNCTION("""COMPUTED_VALUE"""),"Монтажная коробка ""МК+Видео Гранд"", IP66/67 Черная, исп.05")</f>
        <v>Монтажная коробка "МК+Видео Гранд", IP66/67 Черная, исп.05</v>
      </c>
      <c r="B99" s="6" t="str">
        <f ca="1">IFERROR(__xludf.DUMMYFUNCTION("""COMPUTED_VALUE"""),"С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f>
        <v>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v>
      </c>
      <c r="C99" s="9">
        <f ca="1">IFERROR(__xludf.DUMMYFUNCTION("""COMPUTED_VALUE"""),1034)</f>
        <v>1034</v>
      </c>
      <c r="D99" s="6"/>
      <c r="E99" s="8"/>
    </row>
    <row r="100" spans="1:5" ht="153">
      <c r="A100" s="5" t="str">
        <f ca="1">IFERROR(__xludf.DUMMYFUNCTION("""COMPUTED_VALUE"""),"Монтажная коробка ""МК+Видео Гранд"", IP66/67 Белая, исп.06")</f>
        <v>Монтажная коробка "МК+Видео Гранд", IP66/67 Белая, исп.06</v>
      </c>
      <c r="B100"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крупногабарит"&amp;"ных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100" s="9">
        <f ca="1">IFERROR(__xludf.DUMMYFUNCTION("""COMPUTED_VALUE"""),1210)</f>
        <v>1210</v>
      </c>
      <c r="D100" s="6"/>
      <c r="E100" s="8"/>
    </row>
    <row r="101" spans="1:5" ht="153">
      <c r="A101" s="5" t="str">
        <f ca="1">IFERROR(__xludf.DUMMYFUNCTION("""COMPUTED_VALUE"""),"Монтажная коробка ""МК+Видео Гранд"", IP66/67 черная, исп.06")</f>
        <v>Монтажная коробка "МК+Видео Гранд", IP66/67 черная, исп.06</v>
      </c>
      <c r="B101"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крупногабарит"&amp;"ных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101" s="9">
        <f ca="1">IFERROR(__xludf.DUMMYFUNCTION("""COMPUTED_VALUE"""),1210)</f>
        <v>1210</v>
      </c>
      <c r="D101" s="6"/>
      <c r="E101" s="8"/>
    </row>
    <row r="102" spans="1:5" ht="178.5">
      <c r="A102" s="5" t="str">
        <f ca="1">IFERROR(__xludf.DUMMYFUNCTION("""COMPUTED_VALUE"""),"Монтажная коробка ""МК+Видео Гранд"", IP66/67 Белая, исп.07")</f>
        <v>Монтажная коробка "МК+Видео Гранд", IP66/67 Белая, исп.07</v>
      </c>
      <c r="B102"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прилега"&amp;"ния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102" s="9">
        <f ca="1">IFERROR(__xludf.DUMMYFUNCTION("""COMPUTED_VALUE"""),1430)</f>
        <v>1430</v>
      </c>
      <c r="D102" s="6"/>
      <c r="E102" s="8"/>
    </row>
    <row r="103" spans="1:5" ht="178.5">
      <c r="A103" s="5" t="str">
        <f ca="1">IFERROR(__xludf.DUMMYFUNCTION("""COMPUTED_VALUE"""),"Монтажная коробка ""МК+Видео Гранд"", IP66/67 черная, исп.07")</f>
        <v>Монтажная коробка "МК+Видео Гранд", IP66/67 черная, исп.07</v>
      </c>
      <c r="B103"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прилега"&amp;"ния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103" s="9">
        <f ca="1">IFERROR(__xludf.DUMMYFUNCTION("""COMPUTED_VALUE"""),1430)</f>
        <v>1430</v>
      </c>
      <c r="D103" s="6"/>
      <c r="E103" s="8"/>
    </row>
    <row r="104" spans="1:5" ht="25.5">
      <c r="A104" s="5" t="str">
        <f ca="1">IFERROR(__xludf.DUMMYFUNCTION("""COMPUTED_VALUE"""),"Аккумуляторная батарея КТ 12-1.2")</f>
        <v>Аккумуляторная батарея КТ 12-1.2</v>
      </c>
      <c r="B104" s="6" t="str">
        <f ca="1">IFERROR(__xludf.DUMMYFUNCTION("""COMPUTED_VALUE"""),"12В 1.2А/ч")</f>
        <v>12В 1.2А/ч</v>
      </c>
      <c r="C104" s="9" t="str">
        <f ca="1">IFERROR(__xludf.DUMMYFUNCTION("""COMPUTED_VALUE"""),"по запросу")</f>
        <v>по запросу</v>
      </c>
      <c r="D104" s="6"/>
      <c r="E104" s="8"/>
    </row>
    <row r="105" spans="1:5" ht="25.5">
      <c r="A105" s="5" t="str">
        <f ca="1">IFERROR(__xludf.DUMMYFUNCTION("""COMPUTED_VALUE"""),"Аккумуляторная батарея КТ 12-2.2")</f>
        <v>Аккумуляторная батарея КТ 12-2.2</v>
      </c>
      <c r="B105" s="6" t="str">
        <f ca="1">IFERROR(__xludf.DUMMYFUNCTION("""COMPUTED_VALUE"""),"12В 2.2А/ч")</f>
        <v>12В 2.2А/ч</v>
      </c>
      <c r="C105" s="9" t="str">
        <f ca="1">IFERROR(__xludf.DUMMYFUNCTION("""COMPUTED_VALUE"""),"по запросу")</f>
        <v>по запросу</v>
      </c>
      <c r="D105" s="6"/>
      <c r="E105" s="8"/>
    </row>
    <row r="106" spans="1:5" ht="25.5">
      <c r="A106" s="5" t="str">
        <f ca="1">IFERROR(__xludf.DUMMYFUNCTION("""COMPUTED_VALUE"""),"Аккумуляторная батарея КТ 12-4.5")</f>
        <v>Аккумуляторная батарея КТ 12-4.5</v>
      </c>
      <c r="B106" s="6" t="str">
        <f ca="1">IFERROR(__xludf.DUMMYFUNCTION("""COMPUTED_VALUE"""),"12В 4.5А/ч")</f>
        <v>12В 4.5А/ч</v>
      </c>
      <c r="C106" s="9" t="str">
        <f ca="1">IFERROR(__xludf.DUMMYFUNCTION("""COMPUTED_VALUE"""),"по запросу")</f>
        <v>по запросу</v>
      </c>
      <c r="D106" s="6"/>
      <c r="E106" s="8"/>
    </row>
    <row r="107" spans="1:5" ht="25.5">
      <c r="A107" s="5" t="str">
        <f ca="1">IFERROR(__xludf.DUMMYFUNCTION("""COMPUTED_VALUE"""),"Аккумуляторная батарея КТ 12-7.2")</f>
        <v>Аккумуляторная батарея КТ 12-7.2</v>
      </c>
      <c r="B107" s="6" t="str">
        <f ca="1">IFERROR(__xludf.DUMMYFUNCTION("""COMPUTED_VALUE"""),"12В 7А/ч")</f>
        <v>12В 7А/ч</v>
      </c>
      <c r="C107" s="9" t="str">
        <f ca="1">IFERROR(__xludf.DUMMYFUNCTION("""COMPUTED_VALUE"""),"по запросу")</f>
        <v>по запросу</v>
      </c>
      <c r="D107" s="6"/>
      <c r="E107" s="8"/>
    </row>
    <row r="108" spans="1:5" ht="25.5">
      <c r="A108" s="5" t="str">
        <f ca="1">IFERROR(__xludf.DUMMYFUNCTION("""COMPUTED_VALUE"""),"Аккумуляторная батарея КТ 12-12")</f>
        <v>Аккумуляторная батарея КТ 12-12</v>
      </c>
      <c r="B108" s="6" t="str">
        <f ca="1">IFERROR(__xludf.DUMMYFUNCTION("""COMPUTED_VALUE"""),"12В 12А/ч")</f>
        <v>12В 12А/ч</v>
      </c>
      <c r="C108" s="9" t="str">
        <f ca="1">IFERROR(__xludf.DUMMYFUNCTION("""COMPUTED_VALUE"""),"по запросу")</f>
        <v>по запросу</v>
      </c>
      <c r="D108" s="6"/>
      <c r="E108" s="8"/>
    </row>
    <row r="109" spans="1:5" ht="25.5">
      <c r="A109" s="5" t="str">
        <f ca="1">IFERROR(__xludf.DUMMYFUNCTION("""COMPUTED_VALUE"""),"Аккумуляторная батарея КТ 12-17")</f>
        <v>Аккумуляторная батарея КТ 12-17</v>
      </c>
      <c r="B109" s="6" t="str">
        <f ca="1">IFERROR(__xludf.DUMMYFUNCTION("""COMPUTED_VALUE"""),"12В 17А/ч")</f>
        <v>12В 17А/ч</v>
      </c>
      <c r="C109" s="9" t="str">
        <f ca="1">IFERROR(__xludf.DUMMYFUNCTION("""COMPUTED_VALUE"""),"по запросу")</f>
        <v>по запросу</v>
      </c>
      <c r="D109" s="6"/>
      <c r="E109" s="8"/>
    </row>
    <row r="110" spans="1:5" ht="25.5">
      <c r="A110" s="5" t="str">
        <f ca="1">IFERROR(__xludf.DUMMYFUNCTION("""COMPUTED_VALUE"""),"Аккумуляторная батарея КТ 12-40")</f>
        <v>Аккумуляторная батарея КТ 12-40</v>
      </c>
      <c r="B110" s="6" t="str">
        <f ca="1">IFERROR(__xludf.DUMMYFUNCTION("""COMPUTED_VALUE"""),"12В 40А/ч")</f>
        <v>12В 40А/ч</v>
      </c>
      <c r="C110" s="9" t="str">
        <f ca="1">IFERROR(__xludf.DUMMYFUNCTION("""COMPUTED_VALUE"""),"по запросу")</f>
        <v>по запросу</v>
      </c>
      <c r="D110" s="6"/>
      <c r="E110" s="8"/>
    </row>
    <row r="111" spans="1:5" ht="25.5">
      <c r="A111" s="5" t="str">
        <f ca="1">IFERROR(__xludf.DUMMYFUNCTION("""COMPUTED_VALUE"""),"Аккумуляторная батарея КТ 4-4")</f>
        <v>Аккумуляторная батарея КТ 4-4</v>
      </c>
      <c r="B111" s="6" t="str">
        <f ca="1">IFERROR(__xludf.DUMMYFUNCTION("""COMPUTED_VALUE"""),"4В 4А/ч")</f>
        <v>4В 4А/ч</v>
      </c>
      <c r="C111" s="9" t="str">
        <f ca="1">IFERROR(__xludf.DUMMYFUNCTION("""COMPUTED_VALUE"""),"по запросу")</f>
        <v>по запросу</v>
      </c>
      <c r="D111" s="6"/>
      <c r="E111" s="8"/>
    </row>
    <row r="112" spans="1:5" ht="25.5">
      <c r="A112" s="5" t="str">
        <f ca="1">IFERROR(__xludf.DUMMYFUNCTION("""COMPUTED_VALUE"""),"Аккумуляторная батарея КТ 6-1.2")</f>
        <v>Аккумуляторная батарея КТ 6-1.2</v>
      </c>
      <c r="B112" s="6" t="str">
        <f ca="1">IFERROR(__xludf.DUMMYFUNCTION("""COMPUTED_VALUE"""),"6В 1.2А/ч")</f>
        <v>6В 1.2А/ч</v>
      </c>
      <c r="C112" s="9" t="str">
        <f ca="1">IFERROR(__xludf.DUMMYFUNCTION("""COMPUTED_VALUE"""),"по запросу")</f>
        <v>по запросу</v>
      </c>
      <c r="D112" s="6"/>
      <c r="E112" s="8"/>
    </row>
    <row r="113" spans="1:5" ht="25.5">
      <c r="A113" s="5" t="str">
        <f ca="1">IFERROR(__xludf.DUMMYFUNCTION("""COMPUTED_VALUE"""),"Аккумуляторная батарея КТ 6-4.5")</f>
        <v>Аккумуляторная батарея КТ 6-4.5</v>
      </c>
      <c r="B113" s="6" t="str">
        <f ca="1">IFERROR(__xludf.DUMMYFUNCTION("""COMPUTED_VALUE"""),"6В 4.5А/ч")</f>
        <v>6В 4.5А/ч</v>
      </c>
      <c r="C113" s="9" t="str">
        <f ca="1">IFERROR(__xludf.DUMMYFUNCTION("""COMPUTED_VALUE"""),"по запросу")</f>
        <v>по запросу</v>
      </c>
      <c r="D113" s="6"/>
      <c r="E113" s="8"/>
    </row>
    <row r="114" spans="1:5" ht="25.5">
      <c r="A114" s="5" t="str">
        <f ca="1">IFERROR(__xludf.DUMMYFUNCTION("""COMPUTED_VALUE"""),"Аккумуляторная батарея КТ 6-7")</f>
        <v>Аккумуляторная батарея КТ 6-7</v>
      </c>
      <c r="B114" s="6" t="str">
        <f ca="1">IFERROR(__xludf.DUMMYFUNCTION("""COMPUTED_VALUE"""),"6В 7А/ч")</f>
        <v>6В 7А/ч</v>
      </c>
      <c r="C114" s="9" t="str">
        <f ca="1">IFERROR(__xludf.DUMMYFUNCTION("""COMPUTED_VALUE"""),"по запросу")</f>
        <v>по запросу</v>
      </c>
      <c r="D114" s="6"/>
      <c r="E114" s="8"/>
    </row>
    <row r="115" spans="1:5" ht="25.5">
      <c r="A115" s="5" t="str">
        <f ca="1">IFERROR(__xludf.DUMMYFUNCTION("""COMPUTED_VALUE"""),"Аккумуляторная батарея КТ 6-12")</f>
        <v>Аккумуляторная батарея КТ 6-12</v>
      </c>
      <c r="B115" s="6" t="str">
        <f ca="1">IFERROR(__xludf.DUMMYFUNCTION("""COMPUTED_VALUE"""),"6В 12А/ч")</f>
        <v>6В 12А/ч</v>
      </c>
      <c r="C115" s="9" t="str">
        <f ca="1">IFERROR(__xludf.DUMMYFUNCTION("""COMPUTED_VALUE"""),"по запросу")</f>
        <v>по запросу</v>
      </c>
      <c r="D115" s="6"/>
      <c r="E115" s="8"/>
    </row>
    <row r="116" spans="1:5" ht="25.5">
      <c r="A116" s="5" t="str">
        <f ca="1">IFERROR(__xludf.DUMMYFUNCTION("""COMPUTED_VALUE"""),"Аккумулятор ETALON FS 12012")</f>
        <v>Аккумулятор ETALON FS 12012</v>
      </c>
      <c r="B116" s="6" t="str">
        <f ca="1">IFERROR(__xludf.DUMMYFUNCTION("""COMPUTED_VALUE"""),"12В 1.2А/ч")</f>
        <v>12В 1.2А/ч</v>
      </c>
      <c r="C116" s="9" t="str">
        <f ca="1">IFERROR(__xludf.DUMMYFUNCTION("""COMPUTED_VALUE"""),"по запросу")</f>
        <v>по запросу</v>
      </c>
      <c r="D116" s="6"/>
      <c r="E116" s="8"/>
    </row>
    <row r="117" spans="1:5" ht="25.5">
      <c r="A117" s="5" t="str">
        <f ca="1">IFERROR(__xludf.DUMMYFUNCTION("""COMPUTED_VALUE"""),"Аккумулятор ETALON FS 12022")</f>
        <v>Аккумулятор ETALON FS 12022</v>
      </c>
      <c r="B117" s="6" t="str">
        <f ca="1">IFERROR(__xludf.DUMMYFUNCTION("""COMPUTED_VALUE"""),"12В 2.2А/ч")</f>
        <v>12В 2.2А/ч</v>
      </c>
      <c r="C117" s="9" t="str">
        <f ca="1">IFERROR(__xludf.DUMMYFUNCTION("""COMPUTED_VALUE"""),"по запросу")</f>
        <v>по запросу</v>
      </c>
      <c r="D117" s="6"/>
      <c r="E117" s="8"/>
    </row>
    <row r="118" spans="1:5" ht="25.5">
      <c r="A118" s="5" t="str">
        <f ca="1">IFERROR(__xludf.DUMMYFUNCTION("""COMPUTED_VALUE"""),"Аккумулятор ETALON FS 12045")</f>
        <v>Аккумулятор ETALON FS 12045</v>
      </c>
      <c r="B118" s="6" t="str">
        <f ca="1">IFERROR(__xludf.DUMMYFUNCTION("""COMPUTED_VALUE"""),"12В 4.5А/ч")</f>
        <v>12В 4.5А/ч</v>
      </c>
      <c r="C118" s="9" t="str">
        <f ca="1">IFERROR(__xludf.DUMMYFUNCTION("""COMPUTED_VALUE"""),"по запросу")</f>
        <v>по запросу</v>
      </c>
      <c r="D118" s="6"/>
      <c r="E118" s="8"/>
    </row>
    <row r="119" spans="1:5" ht="25.5">
      <c r="A119" s="5" t="str">
        <f ca="1">IFERROR(__xludf.DUMMYFUNCTION("""COMPUTED_VALUE"""),"Аккумулятор ETALON FS 1207")</f>
        <v>Аккумулятор ETALON FS 1207</v>
      </c>
      <c r="B119" s="6" t="str">
        <f ca="1">IFERROR(__xludf.DUMMYFUNCTION("""COMPUTED_VALUE"""),"12В 7А/ч")</f>
        <v>12В 7А/ч</v>
      </c>
      <c r="C119" s="9" t="str">
        <f ca="1">IFERROR(__xludf.DUMMYFUNCTION("""COMPUTED_VALUE"""),"по запросу")</f>
        <v>по запросу</v>
      </c>
      <c r="D119" s="6"/>
      <c r="E119" s="8"/>
    </row>
    <row r="120" spans="1:5" ht="25.5">
      <c r="A120" s="5" t="str">
        <f ca="1">IFERROR(__xludf.DUMMYFUNCTION("""COMPUTED_VALUE"""),"Аккумулятор ETALON FS 1207 +")</f>
        <v>Аккумулятор ETALON FS 1207 +</v>
      </c>
      <c r="B120" s="6" t="str">
        <f ca="1">IFERROR(__xludf.DUMMYFUNCTION("""COMPUTED_VALUE"""),"12В 7А/ч,  улучшенные характеристики")</f>
        <v>12В 7А/ч,  улучшенные характеристики</v>
      </c>
      <c r="C120" s="9" t="str">
        <f ca="1">IFERROR(__xludf.DUMMYFUNCTION("""COMPUTED_VALUE"""),"по запросу")</f>
        <v>по запросу</v>
      </c>
      <c r="D120" s="6"/>
      <c r="E120" s="8"/>
    </row>
    <row r="121" spans="1:5" ht="25.5">
      <c r="A121" s="5" t="str">
        <f ca="1">IFERROR(__xludf.DUMMYFUNCTION("""COMPUTED_VALUE"""),"Аккумулятор ETALON FS 1212")</f>
        <v>Аккумулятор ETALON FS 1212</v>
      </c>
      <c r="B121" s="6" t="str">
        <f ca="1">IFERROR(__xludf.DUMMYFUNCTION("""COMPUTED_VALUE"""),"12В 12А/ч")</f>
        <v>12В 12А/ч</v>
      </c>
      <c r="C121" s="9" t="str">
        <f ca="1">IFERROR(__xludf.DUMMYFUNCTION("""COMPUTED_VALUE"""),"по запросу")</f>
        <v>по запросу</v>
      </c>
      <c r="D121" s="6"/>
      <c r="E121" s="8"/>
    </row>
    <row r="122" spans="1:5" ht="25.5">
      <c r="A122" s="5" t="str">
        <f ca="1">IFERROR(__xludf.DUMMYFUNCTION("""COMPUTED_VALUE"""),"Аккумулятор ETALON FS 1217")</f>
        <v>Аккумулятор ETALON FS 1217</v>
      </c>
      <c r="B122" s="6" t="str">
        <f ca="1">IFERROR(__xludf.DUMMYFUNCTION("""COMPUTED_VALUE"""),"12В 17А/ч")</f>
        <v>12В 17А/ч</v>
      </c>
      <c r="C122" s="9" t="str">
        <f ca="1">IFERROR(__xludf.DUMMYFUNCTION("""COMPUTED_VALUE"""),"по запросу")</f>
        <v>по запросу</v>
      </c>
      <c r="D122" s="6"/>
      <c r="E122" s="8"/>
    </row>
    <row r="123" spans="1:5" ht="25.5">
      <c r="A123" s="5" t="str">
        <f ca="1">IFERROR(__xludf.DUMMYFUNCTION("""COMPUTED_VALUE"""),"Аккумулятор ETALON FS 1226")</f>
        <v>Аккумулятор ETALON FS 1226</v>
      </c>
      <c r="B123" s="6" t="str">
        <f ca="1">IFERROR(__xludf.DUMMYFUNCTION("""COMPUTED_VALUE"""),"12В 26А/ч")</f>
        <v>12В 26А/ч</v>
      </c>
      <c r="C123" s="9" t="str">
        <f ca="1">IFERROR(__xludf.DUMMYFUNCTION("""COMPUTED_VALUE"""),"по запросу")</f>
        <v>по запросу</v>
      </c>
      <c r="D123" s="6"/>
      <c r="E123" s="8"/>
    </row>
    <row r="124" spans="1:5" ht="25.5">
      <c r="A124" s="5" t="str">
        <f ca="1">IFERROR(__xludf.DUMMYFUNCTION("""COMPUTED_VALUE"""),"Аккумулятор ETALON FORS 12012")</f>
        <v>Аккумулятор ETALON FORS 12012</v>
      </c>
      <c r="B124" s="6" t="str">
        <f ca="1">IFERROR(__xludf.DUMMYFUNCTION("""COMPUTED_VALUE"""),"12В 1.2А/ч, премиум-класс")</f>
        <v>12В 1.2А/ч, премиум-класс</v>
      </c>
      <c r="C124" s="9" t="str">
        <f ca="1">IFERROR(__xludf.DUMMYFUNCTION("""COMPUTED_VALUE"""),"по запросу")</f>
        <v>по запросу</v>
      </c>
      <c r="D124" s="6"/>
      <c r="E124" s="8"/>
    </row>
    <row r="125" spans="1:5" ht="25.5">
      <c r="A125" s="5" t="str">
        <f ca="1">IFERROR(__xludf.DUMMYFUNCTION("""COMPUTED_VALUE"""),"Аккумулятор ETALON FORS 12022")</f>
        <v>Аккумулятор ETALON FORS 12022</v>
      </c>
      <c r="B125" s="6" t="str">
        <f ca="1">IFERROR(__xludf.DUMMYFUNCTION("""COMPUTED_VALUE"""),"12В 2.2А/ч, премиум-класс")</f>
        <v>12В 2.2А/ч, премиум-класс</v>
      </c>
      <c r="C125" s="9" t="str">
        <f ca="1">IFERROR(__xludf.DUMMYFUNCTION("""COMPUTED_VALUE"""),"по запросу")</f>
        <v>по запросу</v>
      </c>
      <c r="D125" s="6"/>
      <c r="E125" s="8"/>
    </row>
    <row r="126" spans="1:5" ht="25.5">
      <c r="A126" s="5" t="str">
        <f ca="1">IFERROR(__xludf.DUMMYFUNCTION("""COMPUTED_VALUE"""),"Аккумулятор ETALON FORS 12045")</f>
        <v>Аккумулятор ETALON FORS 12045</v>
      </c>
      <c r="B126" s="6" t="str">
        <f ca="1">IFERROR(__xludf.DUMMYFUNCTION("""COMPUTED_VALUE"""),"12В 4.5А/ч, премиум-класс")</f>
        <v>12В 4.5А/ч, премиум-класс</v>
      </c>
      <c r="C126" s="9" t="str">
        <f ca="1">IFERROR(__xludf.DUMMYFUNCTION("""COMPUTED_VALUE"""),"по запросу")</f>
        <v>по запросу</v>
      </c>
      <c r="D126" s="6"/>
      <c r="E126" s="8"/>
    </row>
    <row r="127" spans="1:5" ht="25.5">
      <c r="A127" s="5" t="str">
        <f ca="1">IFERROR(__xludf.DUMMYFUNCTION("""COMPUTED_VALUE"""),"Аккумулятор ETALON FORS 1207")</f>
        <v>Аккумулятор ETALON FORS 1207</v>
      </c>
      <c r="B127" s="6" t="str">
        <f ca="1">IFERROR(__xludf.DUMMYFUNCTION("""COMPUTED_VALUE"""),"12В 7А/ч, премиум-класс")</f>
        <v>12В 7А/ч, премиум-класс</v>
      </c>
      <c r="C127" s="9" t="str">
        <f ca="1">IFERROR(__xludf.DUMMYFUNCTION("""COMPUTED_VALUE"""),"по запросу")</f>
        <v>по запросу</v>
      </c>
      <c r="D127" s="6"/>
      <c r="E127" s="8"/>
    </row>
    <row r="128" spans="1:5" ht="25.5">
      <c r="A128" s="5" t="str">
        <f ca="1">IFERROR(__xludf.DUMMYFUNCTION("""COMPUTED_VALUE"""),"Аккумулятор ETALON FORS 1212")</f>
        <v>Аккумулятор ETALON FORS 1212</v>
      </c>
      <c r="B128" s="6" t="str">
        <f ca="1">IFERROR(__xludf.DUMMYFUNCTION("""COMPUTED_VALUE"""),"12В 12А/ч, премиум-класс")</f>
        <v>12В 12А/ч, премиум-класс</v>
      </c>
      <c r="C128" s="9" t="str">
        <f ca="1">IFERROR(__xludf.DUMMYFUNCTION("""COMPUTED_VALUE"""),"по запросу")</f>
        <v>по запросу</v>
      </c>
      <c r="D128" s="6"/>
      <c r="E128" s="8"/>
    </row>
    <row r="129" spans="1:5" ht="25.5">
      <c r="A129" s="5" t="str">
        <f ca="1">IFERROR(__xludf.DUMMYFUNCTION("""COMPUTED_VALUE"""),"Аккумулятор ETALON FORS 1218")</f>
        <v>Аккумулятор ETALON FORS 1218</v>
      </c>
      <c r="B129" s="6" t="str">
        <f ca="1">IFERROR(__xludf.DUMMYFUNCTION("""COMPUTED_VALUE"""),"12В 18А/ч, премиум-класс")</f>
        <v>12В 18А/ч, премиум-класс</v>
      </c>
      <c r="C129" s="9" t="str">
        <f ca="1">IFERROR(__xludf.DUMMYFUNCTION("""COMPUTED_VALUE"""),"по запросу")</f>
        <v>по запросу</v>
      </c>
      <c r="D129" s="6"/>
      <c r="E129" s="8"/>
    </row>
    <row r="130" spans="1:5" ht="25.5">
      <c r="A130" s="5" t="str">
        <f ca="1">IFERROR(__xludf.DUMMYFUNCTION("""COMPUTED_VALUE"""),"Аккумулятор ETALON FORS 1226")</f>
        <v>Аккумулятор ETALON FORS 1226</v>
      </c>
      <c r="B130" s="6" t="str">
        <f ca="1">IFERROR(__xludf.DUMMYFUNCTION("""COMPUTED_VALUE"""),"12В 26А/ч, премиум-класс")</f>
        <v>12В 26А/ч, премиум-класс</v>
      </c>
      <c r="C130" s="9" t="str">
        <f ca="1">IFERROR(__xludf.DUMMYFUNCTION("""COMPUTED_VALUE"""),"по запросу")</f>
        <v>по запросу</v>
      </c>
      <c r="D130" s="6"/>
      <c r="E130" s="8"/>
    </row>
    <row r="131" spans="1:5" ht="51">
      <c r="A131" s="5" t="str">
        <f ca="1">IFERROR(__xludf.DUMMYFUNCTION("""COMPUTED_VALUE"""),"МКС «МОРОЗ» IP66/IP68 Глухая")</f>
        <v>МКС «МОРОЗ» IP66/IP68 Глухая</v>
      </c>
      <c r="B131" s="6" t="str">
        <f ca="1">IFERROR(__xludf.DUMMYFUNCTION("""COMPUTED_VALUE"""),"Корпус из алюминиевого сплава, 90х90х62мм.
Корпус может быть оборудован герметичными вводами МКВ (до 4-х шт) ")</f>
        <v xml:space="preserve">Корпус из алюминиевого сплава, 90х90х62мм.
Корпус может быть оборудован герметичными вводами МКВ (до 4-х шт) </v>
      </c>
      <c r="C131" s="9">
        <f ca="1">IFERROR(__xludf.DUMMYFUNCTION("""COMPUTED_VALUE"""),929.5)</f>
        <v>929.5</v>
      </c>
      <c r="D131" s="6"/>
      <c r="E131" s="8"/>
    </row>
    <row r="132" spans="1:5" ht="51">
      <c r="A132" s="5" t="str">
        <f ca="1">IFERROR(__xludf.DUMMYFUNCTION("""COMPUTED_VALUE"""),"МКС 1В «МОРОЗ» IP66/IP68 ")</f>
        <v xml:space="preserve">МКС 1В «МОРОЗ» IP66/IP68 </v>
      </c>
      <c r="B132" s="6" t="str">
        <f ca="1">IFERROR(__xludf.DUMMYFUNCTION("""COMPUTED_VALUE"""),"Корпус из алюминиевого сплава, 90х90х62мм.
1 кабельный ввод ПКВ20х1,5 (под кабель от 6 до 12 мм )")</f>
        <v>Корпус из алюминиевого сплава, 90х90х62мм.
1 кабельный ввод ПКВ20х1,5 (под кабель от 6 до 12 мм )</v>
      </c>
      <c r="C132" s="9">
        <f ca="1">IFERROR(__xludf.DUMMYFUNCTION("""COMPUTED_VALUE"""),1161.6)</f>
        <v>1161.5999999999999</v>
      </c>
      <c r="D132" s="6"/>
      <c r="E132" s="8"/>
    </row>
    <row r="133" spans="1:5" ht="51">
      <c r="A133" s="5" t="str">
        <f ca="1">IFERROR(__xludf.DUMMYFUNCTION("""COMPUTED_VALUE"""),"МКС 1В «МОРОЗ» IP66/IP68 с DIN-рейкой")</f>
        <v>МКС 1В «МОРОЗ» IP66/IP68 с DIN-рейкой</v>
      </c>
      <c r="B133" s="6" t="str">
        <f ca="1">IFERROR(__xludf.DUMMYFUNCTION("""COMPUTED_VALUE"""),"Корпус из алюминиевого сплава, 90х90х62мм.
1 кабельный ввод ПКВ20х1,5 (под кабель от 6 до 14 мм ), DIN-рейка")</f>
        <v>Корпус из алюминиевого сплава, 90х90х62мм.
1 кабельный ввод ПКВ20х1,5 (под кабель от 6 до 14 мм ), DIN-рейка</v>
      </c>
      <c r="C133" s="9">
        <f ca="1">IFERROR(__xludf.DUMMYFUNCTION("""COMPUTED_VALUE"""),1282.6)</f>
        <v>1282.5999999999999</v>
      </c>
      <c r="D133" s="6"/>
      <c r="E133" s="8"/>
    </row>
    <row r="134" spans="1:5" ht="51">
      <c r="A134" s="5" t="str">
        <f ca="1">IFERROR(__xludf.DUMMYFUNCTION("""COMPUTED_VALUE"""),"МКС 2В «МОРОЗ» IP66/IP68 ")</f>
        <v xml:space="preserve">МКС 2В «МОРОЗ» IP66/IP68 </v>
      </c>
      <c r="B134" s="6" t="str">
        <f ca="1">IFERROR(__xludf.DUMMYFUNCTION("""COMPUTED_VALUE"""),"Корпус из алюминиевого сплава, 90х90х62мм.
2 кабельных ввода ПКВ20х1,5 (под кабель от 6 до 12 мм )")</f>
        <v>Корпус из алюминиевого сплава, 90х90х62мм.
2 кабельных ввода ПКВ20х1,5 (под кабель от 6 до 12 мм )</v>
      </c>
      <c r="C134" s="9">
        <f ca="1">IFERROR(__xludf.DUMMYFUNCTION("""COMPUTED_VALUE"""),1393.7)</f>
        <v>1393.7</v>
      </c>
      <c r="D134" s="6"/>
      <c r="E134" s="8"/>
    </row>
    <row r="135" spans="1:5" ht="76.5">
      <c r="A135" s="5" t="str">
        <f ca="1">IFERROR(__xludf.DUMMYFUNCTION("""COMPUTED_VALUE"""),"МКС 2В «МОРОЗ» IP66/IP68,  с клеммниками REXANT")</f>
        <v>МКС 2В «МОРОЗ» IP66/IP68,  с клеммниками REXANT</v>
      </c>
      <c r="B135" s="6" t="str">
        <f ca="1">IFERROR(__xludf.DUMMYFUNCTION("""COMPUTED_VALUE"""),"Корпус из алюминиевого сплава, 90х90х62мм.
2 кабельных ввода ПКВ20х1,5 (под кабель от 6 до 14 мм ), до 6 проходных клемм с рычажком (под жилу 0,08-4 мм2)")</f>
        <v>Корпус из алюминиевого сплава, 90х90х62мм.
2 кабельных ввода ПКВ20х1,5 (под кабель от 6 до 14 мм ), до 6 проходных клемм с рычажком (под жилу 0,08-4 мм2)</v>
      </c>
      <c r="C135" s="9">
        <f ca="1">IFERROR(__xludf.DUMMYFUNCTION("""COMPUTED_VALUE"""),1817.2)</f>
        <v>1817.2</v>
      </c>
      <c r="D135" s="6"/>
      <c r="E135" s="8"/>
    </row>
    <row r="136" spans="1:5" ht="51">
      <c r="A136" s="5" t="str">
        <f ca="1">IFERROR(__xludf.DUMMYFUNCTION("""COMPUTED_VALUE"""),"МКС 3В «МОРОЗ» IP66/IP68 ")</f>
        <v xml:space="preserve">МКС 3В «МОРОЗ» IP66/IP68 </v>
      </c>
      <c r="B136" s="6" t="str">
        <f ca="1">IFERROR(__xludf.DUMMYFUNCTION("""COMPUTED_VALUE"""),"Корпус из алюминиевого сплава, 90х90х62мм.
3 кабельных ввода ПКВ20х1,5 (под кабель от 6 до 12 мм )")</f>
        <v>Корпус из алюминиевого сплава, 90х90х62мм.
3 кабельных ввода ПКВ20х1,5 (под кабель от 6 до 12 мм )</v>
      </c>
      <c r="C136" s="9">
        <f ca="1">IFERROR(__xludf.DUMMYFUNCTION("""COMPUTED_VALUE"""),1625.8)</f>
        <v>1625.8</v>
      </c>
      <c r="D136" s="6"/>
      <c r="E136" s="8"/>
    </row>
    <row r="137" spans="1:5" ht="51">
      <c r="A137" s="5" t="str">
        <f ca="1">IFERROR(__xludf.DUMMYFUNCTION("""COMPUTED_VALUE"""),"МКС 4В «МОРОЗ» IP66/IP68 ")</f>
        <v xml:space="preserve">МКС 4В «МОРОЗ» IP66/IP68 </v>
      </c>
      <c r="B137" s="6" t="str">
        <f ca="1">IFERROR(__xludf.DUMMYFUNCTION("""COMPUTED_VALUE"""),"Корпус из алюминиевого сплава, 90х90х62мм.
4 кабельных ввода ПКВ20х1,5 (под кабель от 6 до 12 мм)")</f>
        <v>Корпус из алюминиевого сплава, 90х90х62мм.
4 кабельных ввода ПКВ20х1,5 (под кабель от 6 до 12 мм)</v>
      </c>
      <c r="C137" s="9">
        <f ca="1">IFERROR(__xludf.DUMMYFUNCTION("""COMPUTED_VALUE"""),1859)</f>
        <v>1859</v>
      </c>
      <c r="D137" s="6"/>
      <c r="E137" s="8"/>
    </row>
    <row r="138" spans="1:5" ht="76.5">
      <c r="A138" s="5" t="str">
        <f ca="1">IFERROR(__xludf.DUMMYFUNCTION("""COMPUTED_VALUE"""),"МКС 2ВК «МОРОЗ» IP66/IP68 ")</f>
        <v xml:space="preserve">МКС 2ВК «МОРОЗ» IP66/IP68 </v>
      </c>
      <c r="B138" s="6" t="str">
        <f ca="1">IFERROR(__xludf.DUMMYFUNCTION("""COMPUTED_VALUE"""),"Корпус из алюминиевого сплава, 90х90х62мм.
Клеммная колодка РМ2 (400 А, 24 А, 2,5 мм.кв) 10 пар контактов.
2 кабельных ввода ПКВ20х1,5 (под кабель от 6 до 12 мм )")</f>
        <v>Корпус из алюминиевого сплава, 90х90х62мм.
Клеммная колодка РМ2 (400 А, 24 А, 2,5 мм.кв) 10 пар контактов.
2 кабельных ввода ПКВ20х1,5 (под кабель от 6 до 12 мм )</v>
      </c>
      <c r="C138" s="9">
        <f ca="1">IFERROR(__xludf.DUMMYFUNCTION("""COMPUTED_VALUE"""),1974.5)</f>
        <v>1974.5</v>
      </c>
      <c r="D138" s="6"/>
      <c r="E138" s="8"/>
    </row>
    <row r="139" spans="1:5" ht="102">
      <c r="A139" s="5" t="str">
        <f ca="1">IFERROR(__xludf.DUMMYFUNCTION("""COMPUTED_VALUE"""),"МКС 1МВ «МОРОЗ» IP66/IP68 ")</f>
        <v xml:space="preserve">МКС 1МВ «МОРОЗ» IP66/IP68 </v>
      </c>
      <c r="B139" s="6" t="str">
        <f ca="1">IFERROR(__xludf.DUMMYFUNCTION("""COMPUTED_VALUE"""),"Корпус из алюминиевого сплава, 90х90х62мм. 1 металлический кабельный ввод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1 металлический кабельный ввод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39" s="9">
        <f ca="1">IFERROR(__xludf.DUMMYFUNCTION("""COMPUTED_VALUE"""),1993.2)</f>
        <v>1993.2</v>
      </c>
      <c r="D139" s="6"/>
      <c r="E139" s="8"/>
    </row>
    <row r="140" spans="1:5" ht="102">
      <c r="A140" s="5" t="str">
        <f ca="1">IFERROR(__xludf.DUMMYFUNCTION("""COMPUTED_VALUE"""),"МКС 2МВ «МОРОЗ» IP66/IP68 ")</f>
        <v xml:space="preserve">МКС 2МВ «МОРОЗ» IP66/IP68 </v>
      </c>
      <c r="B140" s="6" t="str">
        <f ca="1">IFERROR(__xludf.DUMMYFUNCTION("""COMPUTED_VALUE"""),"Корпус из алюминиевого сплава, 90х90х62мм. 2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2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40" s="9">
        <f ca="1">IFERROR(__xludf.DUMMYFUNCTION("""COMPUTED_VALUE"""),2371.6)</f>
        <v>2371.6</v>
      </c>
      <c r="D140" s="6"/>
      <c r="E140" s="8"/>
    </row>
    <row r="141" spans="1:5" ht="102">
      <c r="A141" s="5" t="str">
        <f ca="1">IFERROR(__xludf.DUMMYFUNCTION("""COMPUTED_VALUE"""),"МКС 3МВ «МОРОЗ» IP66/IP68 ")</f>
        <v xml:space="preserve">МКС 3МВ «МОРОЗ» IP66/IP68 </v>
      </c>
      <c r="B141" s="6" t="str">
        <f ca="1">IFERROR(__xludf.DUMMYFUNCTION("""COMPUTED_VALUE"""),"Корпус из алюминиевого сплава, 90х90х62мм. 3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3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41" s="9">
        <f ca="1">IFERROR(__xludf.DUMMYFUNCTION("""COMPUTED_VALUE"""),2444.2)</f>
        <v>2444.1999999999998</v>
      </c>
      <c r="D141" s="6"/>
      <c r="E141" s="8"/>
    </row>
    <row r="142" spans="1:5" ht="102">
      <c r="A142" s="5" t="str">
        <f ca="1">IFERROR(__xludf.DUMMYFUNCTION("""COMPUTED_VALUE"""),"МКС 4МВ «МОРОЗ» IP66/IP68 ")</f>
        <v xml:space="preserve">МКС 4МВ «МОРОЗ» IP66/IP68 </v>
      </c>
      <c r="B142" s="6" t="str">
        <f ca="1">IFERROR(__xludf.DUMMYFUNCTION("""COMPUTED_VALUE"""),"Корпус из алюминиевого сплава, 90х90х62мм. 4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4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42" s="9">
        <f ca="1">IFERROR(__xludf.DUMMYFUNCTION("""COMPUTED_VALUE"""),2589.4)</f>
        <v>2589.4</v>
      </c>
      <c r="D142" s="6"/>
      <c r="E142" s="8"/>
    </row>
    <row r="143" spans="1:5" ht="63.75">
      <c r="A143" s="5" t="str">
        <f ca="1">IFERROR(__xludf.DUMMYFUNCTION("""COMPUTED_VALUE"""),"МКС 2МВК «МОРОЗ» IP66/IP68 ")</f>
        <v xml:space="preserve">МКС 2МВК «МОРОЗ» IP66/IP68 </v>
      </c>
      <c r="B143" s="6" t="str">
        <f ca="1">IFERROR(__xludf.DUMMYFUNCTION("""COMPUTED_VALUE"""),"Корпус из алюминиевого сплава, 90х90х62мм. 2 металлических кабельных ввода под кабель от 6 до 12 мм. Клеммная колодка РМ2 (400 А, 24 А, 2,5 мм.кв) 10 пар контактов.")</f>
        <v>Корпус из алюминиевого сплава, 90х90х62мм. 2 металлических кабельных ввода под кабель от 6 до 12 мм. Клеммная колодка РМ2 (400 А, 24 А, 2,5 мм.кв) 10 пар контактов.</v>
      </c>
      <c r="C143" s="9">
        <f ca="1">IFERROR(__xludf.DUMMYFUNCTION("""COMPUTED_VALUE"""),2490.4)</f>
        <v>2490.4</v>
      </c>
      <c r="D143" s="6"/>
      <c r="E143" s="8"/>
    </row>
    <row r="144" spans="1:5" ht="76.5">
      <c r="A144" s="5" t="str">
        <f ca="1">IFERROR(__xludf.DUMMYFUNCTION("""COMPUTED_VALUE"""),"МКС 2ВК «МОРОЗ» с датчиком вскрытия корпуса (тампером), IP66/IP68")</f>
        <v>МКС 2ВК «МОРОЗ» с датчиком вскрытия корпуса (тампером), IP66/IP68</v>
      </c>
      <c r="B144" s="6" t="str">
        <f ca="1">IFERROR(__xludf.DUMMYFUNCTION("""COMPUTED_VALUE"""),"Корпус из алюминиевого сплава, 90х90х62мм. Датчик вскрытия корпуса (тампер). Клеммная колодка РМ2 (400 А, 24 А, 2,5 мм.кв) 10 пар контактов. 2 кабельных ввода ПКВ20х1,5 (под кабель от 6 до 12 мм )")</f>
        <v>Корпус из алюминиевого сплава, 90х90х62мм. Датчик вскрытия корпуса (тампер). Клеммная колодка РМ2 (400 А, 24 А, 2,5 мм.кв) 10 пар контактов. 2 кабельных ввода ПКВ20х1,5 (под кабель от 6 до 12 мм )</v>
      </c>
      <c r="C144" s="9">
        <f ca="1">IFERROR(__xludf.DUMMYFUNCTION("""COMPUTED_VALUE"""),3025)</f>
        <v>3025</v>
      </c>
      <c r="D144" s="6"/>
      <c r="E144" s="8"/>
    </row>
    <row r="145" spans="1:5" ht="127.5">
      <c r="A145" s="5" t="str">
        <f ca="1">IFERROR(__xludf.DUMMYFUNCTION("""COMPUTED_VALUE"""),"Exd коробка металлическая 310х260х200 «АЛАБАЙ»")</f>
        <v>Exd коробка металлическая 310х260х200 «АЛАБАЙ»</v>
      </c>
      <c r="B145" s="6" t="str">
        <f ca="1">IFERROR(__xludf.DUMMYFUNCTION("""COMPUTED_VALUE"""),"Корпус из алюминиевого повышенной недеформируемой геометрической прочности. Цельнолитая бесшовная конструкция обладает высокой механической прочностью и стойкостью к высоким температурам, рабочим агрессивным средам. 
Резьбовые отверстия под кабельные ввод"&amp;"ы диаметром от М12 до М75 — по заказу.")</f>
        <v>Корпус из алюминиевого повышенной недеформируемой геометрической прочности. Цельнолитая бесшовная конструкция обладает высокой механической прочностью и стойкостью к высоким температурам, рабочим агрессивным средам. 
Резьбовые отверстия под кабельные вводы диаметром от М12 до М75 — по заказу.</v>
      </c>
      <c r="C145" s="9">
        <f ca="1">IFERROR(__xludf.DUMMYFUNCTION("""COMPUTED_VALUE"""),48000)</f>
        <v>48000</v>
      </c>
      <c r="D145" s="6"/>
      <c r="E145" s="8"/>
    </row>
    <row r="146" spans="1:5" ht="38.25">
      <c r="A146" s="5" t="str">
        <f ca="1">IFERROR(__xludf.DUMMYFUNCTION("""COMPUTED_VALUE"""),"Ех коробка соединительная металлическая МКС «МОРОЗ» IP66/IP68  (Ех-компонент)")</f>
        <v>Ех коробка соединительная металлическая МКС «МОРОЗ» IP66/IP68  (Ех-компонент)</v>
      </c>
      <c r="B146" s="6" t="str">
        <f ca="1">IFERROR(__xludf.DUMMYFUNCTION("""COMPUTED_VALUE"""),"IP66/IP68, Ех еb IIC Gb U, Ex tb IIIC Db U, Корпус из алюминиевого сплава, 90х90х62мм.")</f>
        <v>IP66/IP68, Ех еb IIC Gb U, Ex tb IIIC Db U, Корпус из алюминиевого сплава, 90х90х62мм.</v>
      </c>
      <c r="C146" s="9">
        <f ca="1">IFERROR(__xludf.DUMMYFUNCTION("""COMPUTED_VALUE"""),1300.2)</f>
        <v>1300.2</v>
      </c>
      <c r="D146" s="6"/>
      <c r="E146" s="8"/>
    </row>
    <row r="147" spans="1:5" ht="51">
      <c r="A147" s="5" t="str">
        <f ca="1">IFERROR(__xludf.DUMMYFUNCTION("""COMPUTED_VALUE"""),"Ех коробка МКС «МОРОЗ» IP66/IP68 Ал ПЛ10 В1МВ20х1,5 4-10 ЛП")</f>
        <v>Ех коробка МКС «МОРОЗ» IP66/IP68 Ал ПЛ10 В1МВ20х1,5 4-10 ЛП</v>
      </c>
      <c r="B147" s="6" t="str">
        <f ca="1">IFERROR(__xludf.DUMMYFUNCTION("""COMPUTED_VALUE"""),"1 кабельный ввод МВ20х1,5 (под кабель от 4 до 10 мм), пластиковый клеммниик 10 пар, IP66/IP68, Корпус из алюминиевого сплава, 90х90х62мм,")</f>
        <v>1 кабельный ввод МВ20х1,5 (под кабель от 4 до 10 мм), пластиковый клеммниик 10 пар, IP66/IP68, Корпус из алюминиевого сплава, 90х90х62мм,</v>
      </c>
      <c r="C147" s="9">
        <f ca="1">IFERROR(__xludf.DUMMYFUNCTION("""COMPUTED_VALUE"""),2528.9)</f>
        <v>2528.9</v>
      </c>
      <c r="D147" s="6"/>
      <c r="E147" s="8"/>
    </row>
    <row r="148" spans="1:5" ht="51">
      <c r="A148" s="5" t="str">
        <f ca="1">IFERROR(__xludf.DUMMYFUNCTION("""COMPUTED_VALUE"""),"Ех коробка МКС «МОРОЗ» IP66/IP68 Ал ПЛ10 В1МВ20х1,5 4-10 ЛП С1МВ20х1,5 4-10 ЛП")</f>
        <v>Ех коробка МКС «МОРОЗ» IP66/IP68 Ал ПЛ10 В1МВ20х1,5 4-10 ЛП С1МВ20х1,5 4-10 ЛП</v>
      </c>
      <c r="B148" s="6" t="str">
        <f ca="1">IFERROR(__xludf.DUMMYFUNCTION("""COMPUTED_VALUE"""),"2 кабельных ввода МВ20х1,5 (под кабель от 4 до 10 мм), пластиковый клеммниик 10 пар, IP66/IP68, Корпус из алюминиевого сплава, 90х90х62мм,")</f>
        <v>2 кабельных ввода МВ20х1,5 (под кабель от 4 до 10 мм), пластиковый клеммниик 10 пар, IP66/IP68, Корпус из алюминиевого сплава, 90х90х62мм,</v>
      </c>
      <c r="C148" s="9">
        <f ca="1">IFERROR(__xludf.DUMMYFUNCTION("""COMPUTED_VALUE"""),2770.9)</f>
        <v>2770.9</v>
      </c>
      <c r="D148" s="6"/>
      <c r="E148" s="8"/>
    </row>
    <row r="149" spans="1:5" ht="51">
      <c r="A149" s="5" t="str">
        <f ca="1">IFERROR(__xludf.DUMMYFUNCTION("""COMPUTED_VALUE"""),"Ех коробка МКС «МОРОЗ» IP66/IP68  Ал Кр6 В1МВ20х1,5 4-10 ЛП С1МВ20х1,5 4-10 ЛП")</f>
        <v>Ех коробка МКС «МОРОЗ» IP66/IP68  Ал Кр6 В1МВ20х1,5 4-10 ЛП С1МВ20х1,5 4-10 ЛП</v>
      </c>
      <c r="B149" s="6" t="str">
        <f ca="1">IFERROR(__xludf.DUMMYFUNCTION("""COMPUTED_VALUE"""),"1 кабельный ввод МВ20х1,5 (под кабель от 4 до 10 мм), керамический клеммниик 6 пар, IP66/IP68, Корпус из алюминиевого сплава, 90х90х62мм")</f>
        <v>1 кабельный ввод МВ20х1,5 (под кабель от 4 до 10 мм), керамический клеммниик 6 пар, IP66/IP68, Корпус из алюминиевого сплава, 90х90х62мм</v>
      </c>
      <c r="C149" s="9">
        <f ca="1">IFERROR(__xludf.DUMMYFUNCTION("""COMPUTED_VALUE"""),2528.9)</f>
        <v>2528.9</v>
      </c>
      <c r="D149" s="6"/>
      <c r="E149" s="8"/>
    </row>
    <row r="150" spans="1:5" ht="51">
      <c r="A150" s="5" t="str">
        <f ca="1">IFERROR(__xludf.DUMMYFUNCTION("""COMPUTED_VALUE"""),"Ех коробка МКС «МОРОЗ» IP66/IP68 Ал Кр6 В1МВ20х1,5 4-10 ЛП С1МВ20х1,5 4-10 ЛП")</f>
        <v>Ех коробка МКС «МОРОЗ» IP66/IP68 Ал Кр6 В1МВ20х1,5 4-10 ЛП С1МВ20х1,5 4-10 ЛП</v>
      </c>
      <c r="B150" s="6" t="str">
        <f ca="1">IFERROR(__xludf.DUMMYFUNCTION("""COMPUTED_VALUE"""),"2 кабельных ввода МВ20х1,5 (под кабель от 4 до 10 мм), керамический клеммниик 6 пар, IP66/IP68, Корпус из алюминиевого сплава, 90х90х62мм")</f>
        <v>2 кабельных ввода МВ20х1,5 (под кабель от 4 до 10 мм), керамический клеммниик 6 пар, IP66/IP68, Корпус из алюминиевого сплава, 90х90х62мм</v>
      </c>
      <c r="C150" s="9">
        <f ca="1">IFERROR(__xludf.DUMMYFUNCTION("""COMPUTED_VALUE"""),2770.9)</f>
        <v>2770.9</v>
      </c>
      <c r="D150" s="6"/>
      <c r="E150" s="8"/>
    </row>
    <row r="151" spans="1:5" ht="51">
      <c r="A151" s="5" t="str">
        <f ca="1">IFERROR(__xludf.DUMMYFUNCTION("""COMPUTED_VALUE"""),"Ех коробка МКС «МОРОЗ» IP66/IP68 Ал ПЛ10 В1МВ25х1,5 6-12 ЛП")</f>
        <v>Ех коробка МКС «МОРОЗ» IP66/IP68 Ал ПЛ10 В1МВ25х1,5 6-12 ЛП</v>
      </c>
      <c r="B151" s="6" t="str">
        <f ca="1">IFERROR(__xludf.DUMMYFUNCTION("""COMPUTED_VALUE"""),"1 кабельный ввод МВ25х1,5 (под кабель от 6 до 12 мм), пластиковый клеммниик 10 пар, IP66/IP68, Корпус из алюминиевого сплава, 90х90х62мм,")</f>
        <v>1 кабельный ввод МВ25х1,5 (под кабель от 6 до 12 мм), пластиковый клеммниик 10 пар, IP66/IP68, Корпус из алюминиевого сплава, 90х90х62мм,</v>
      </c>
      <c r="C151" s="9">
        <f ca="1">IFERROR(__xludf.DUMMYFUNCTION("""COMPUTED_VALUE"""),2649.9)</f>
        <v>2649.9</v>
      </c>
      <c r="D151" s="6"/>
      <c r="E151" s="8"/>
    </row>
    <row r="152" spans="1:5" ht="51">
      <c r="A152" s="5" t="str">
        <f ca="1">IFERROR(__xludf.DUMMYFUNCTION("""COMPUTED_VALUE"""),"Ех коробка МКС «МОРОЗ» IP66/IP68 Ал ПЛ10 В1МВ25х1,5 6-12 ЛП С1МВ25х1,5 6-12 ЛП")</f>
        <v>Ех коробка МКС «МОРОЗ» IP66/IP68 Ал ПЛ10 В1МВ25х1,5 6-12 ЛП С1МВ25х1,5 6-12 ЛП</v>
      </c>
      <c r="B152" s="6" t="str">
        <f ca="1">IFERROR(__xludf.DUMMYFUNCTION("""COMPUTED_VALUE"""),"2 кабельных ввода МВ25х1,5 (под кабель от 6 до 12 мм), пластиковый клеммниик 10 пар, IP66/IP68, Корпус из алюминиевого сплава, 90х90х62мм,")</f>
        <v>2 кабельных ввода МВ25х1,5 (под кабель от 6 до 12 мм), пластиковый клеммниик 10 пар, IP66/IP68, Корпус из алюминиевого сплава, 90х90х62мм,</v>
      </c>
      <c r="C152" s="9">
        <f ca="1">IFERROR(__xludf.DUMMYFUNCTION("""COMPUTED_VALUE"""),2891.9)</f>
        <v>2891.9</v>
      </c>
      <c r="D152" s="6"/>
      <c r="E152" s="8"/>
    </row>
    <row r="153" spans="1:5" ht="51">
      <c r="A153" s="5" t="str">
        <f ca="1">IFERROR(__xludf.DUMMYFUNCTION("""COMPUTED_VALUE"""),"Ех коробка МКС «МОРОЗ» IP66/IP68 Ал Кр6 В1МВ25х1,5 6-12 ЛП")</f>
        <v>Ех коробка МКС «МОРОЗ» IP66/IP68 Ал Кр6 В1МВ25х1,5 6-12 ЛП</v>
      </c>
      <c r="B153" s="6" t="str">
        <f ca="1">IFERROR(__xludf.DUMMYFUNCTION("""COMPUTED_VALUE"""),"1 кабельный ввод МВ25х1,5 (под кабель от 6 до 12 мм), керамический клеммниик 6 пар, IP66/IP68, Корпус из алюминиевого сплава, 90х90х62мм")</f>
        <v>1 кабельный ввод МВ25х1,5 (под кабель от 6 до 12 мм), керамический клеммниик 6 пар, IP66/IP68, Корпус из алюминиевого сплава, 90х90х62мм</v>
      </c>
      <c r="C153" s="9">
        <f ca="1">IFERROR(__xludf.DUMMYFUNCTION("""COMPUTED_VALUE"""),2649.9)</f>
        <v>2649.9</v>
      </c>
      <c r="D153" s="6"/>
      <c r="E153" s="8"/>
    </row>
    <row r="154" spans="1:5" ht="51">
      <c r="A154" s="5" t="str">
        <f ca="1">IFERROR(__xludf.DUMMYFUNCTION("""COMPUTED_VALUE"""),"Ех коробка МКС «МОРОЗ» IP66/IP68 Ал Кр6 В1МВ25х1,5 6-12 ЛП С1МВ25х1,5 6-12 ЛП")</f>
        <v>Ех коробка МКС «МОРОЗ» IP66/IP68 Ал Кр6 В1МВ25х1,5 6-12 ЛП С1МВ25х1,5 6-12 ЛП</v>
      </c>
      <c r="B154" s="6" t="str">
        <f ca="1">IFERROR(__xludf.DUMMYFUNCTION("""COMPUTED_VALUE"""),"2 кабельных ввода МВ25х1,5 (под кабель от 6 до 12 мм), керамический клеммниик 6 пар, IP66/IP68, Корпус из алюминиевого сплава, 90х90х62мм")</f>
        <v>2 кабельных ввода МВ25х1,5 (под кабель от 6 до 12 мм), керамический клеммниик 6 пар, IP66/IP68, Корпус из алюминиевого сплава, 90х90х62мм</v>
      </c>
      <c r="C154" s="9">
        <f ca="1">IFERROR(__xludf.DUMMYFUNCTION("""COMPUTED_VALUE"""),2891.9)</f>
        <v>2891.9</v>
      </c>
      <c r="D154" s="6"/>
      <c r="E154" s="8"/>
    </row>
    <row r="155" spans="1:5" ht="76.5">
      <c r="A155" s="5" t="str">
        <f ca="1">IFERROR(__xludf.DUMMYFUNCTION("""COMPUTED_VALUE"""),"ДПР М12 исп. 00")</f>
        <v>ДПР М12 исп. 00</v>
      </c>
      <c r="B155" s="6" t="str">
        <f ca="1">IFERROR(__xludf.DUMMYFUNCTION("""COMPUTED_VALUE"""),"НР,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f>
        <v>НР,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v>
      </c>
      <c r="C155" s="9">
        <f ca="1">IFERROR(__xludf.DUMMYFUNCTION("""COMPUTED_VALUE"""),400)</f>
        <v>400</v>
      </c>
      <c r="D155" s="6"/>
      <c r="E155" s="8"/>
    </row>
    <row r="156" spans="1:5" ht="76.5">
      <c r="A156" s="5" t="str">
        <f ca="1">IFERROR(__xludf.DUMMYFUNCTION("""COMPUTED_VALUE"""),"ДПР М12 исп. 01")</f>
        <v>ДПР М12 исп. 01</v>
      </c>
      <c r="B156" s="6" t="str">
        <f ca="1">IFERROR(__xludf.DUMMYFUNCTION("""COMPUTED_VALUE"""),"Переключающий,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f>
        <v>Переключающий,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v>
      </c>
      <c r="C156" s="9">
        <f ca="1">IFERROR(__xludf.DUMMYFUNCTION("""COMPUTED_VALUE"""),622)</f>
        <v>622</v>
      </c>
      <c r="D156" s="6"/>
      <c r="E156" s="8"/>
    </row>
    <row r="157" spans="1:5" ht="76.5">
      <c r="A157" s="5" t="str">
        <f ca="1">IFERROR(__xludf.DUMMYFUNCTION("""COMPUTED_VALUE"""),"ДПР М20 исп. 00")</f>
        <v>ДПР М20 исп. 00</v>
      </c>
      <c r="B157" s="6" t="str">
        <f ca="1">IFERROR(__xludf.DUMMYFUNCTION("""COMPUTED_VALUE"""),"НР,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f>
        <v>НР,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v>
      </c>
      <c r="C157" s="9">
        <f ca="1">IFERROR(__xludf.DUMMYFUNCTION("""COMPUTED_VALUE"""),467)</f>
        <v>467</v>
      </c>
      <c r="D157" s="6"/>
      <c r="E157" s="8"/>
    </row>
    <row r="158" spans="1:5" ht="76.5">
      <c r="A158" s="5" t="str">
        <f ca="1">IFERROR(__xludf.DUMMYFUNCTION("""COMPUTED_VALUE"""),"ДПР М20 исп. 01")</f>
        <v>ДПР М20 исп. 01</v>
      </c>
      <c r="B158" s="6" t="str">
        <f ca="1">IFERROR(__xludf.DUMMYFUNCTION("""COMPUTED_VALUE"""),"Переключающий,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f>
        <v>Переключающий,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v>
      </c>
      <c r="C158" s="9">
        <f ca="1">IFERROR(__xludf.DUMMYFUNCTION("""COMPUTED_VALUE"""),690)</f>
        <v>690</v>
      </c>
      <c r="D158" s="6"/>
      <c r="E158" s="8"/>
    </row>
    <row r="159" spans="1:5" ht="76.5">
      <c r="A159" s="5" t="str">
        <f ca="1">IFERROR(__xludf.DUMMYFUNCTION("""COMPUTED_VALUE"""),"ДПР М25 исп. 00")</f>
        <v>ДПР М25 исп. 00</v>
      </c>
      <c r="B159" s="6" t="str">
        <f ca="1">IFERROR(__xludf.DUMMYFUNCTION("""COMPUTED_VALUE"""),"НР,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f>
        <v>НР,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v>
      </c>
      <c r="C159" s="9">
        <f ca="1">IFERROR(__xludf.DUMMYFUNCTION("""COMPUTED_VALUE"""),550)</f>
        <v>550</v>
      </c>
      <c r="D159" s="6"/>
      <c r="E159" s="8"/>
    </row>
    <row r="160" spans="1:5" ht="76.5">
      <c r="A160" s="5" t="str">
        <f ca="1">IFERROR(__xludf.DUMMYFUNCTION("""COMPUTED_VALUE"""),"ДПР М25 исп. 01")</f>
        <v>ДПР М25 исп. 01</v>
      </c>
      <c r="B160" s="6" t="str">
        <f ca="1">IFERROR(__xludf.DUMMYFUNCTION("""COMPUTED_VALUE"""),"Переключающий,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f>
        <v>Переключающий,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v>
      </c>
      <c r="C160" s="9">
        <f ca="1">IFERROR(__xludf.DUMMYFUNCTION("""COMPUTED_VALUE"""),780)</f>
        <v>780</v>
      </c>
      <c r="D160" s="6"/>
      <c r="E160" s="8"/>
    </row>
    <row r="161" spans="1:5" ht="76.5">
      <c r="A161" s="5" t="str">
        <f ca="1">IFERROR(__xludf.DUMMYFUNCTION("""COMPUTED_VALUE"""),"Ограждение стойки считывателя ОС-1 АЯКС, цвет оранжевый, «на асфальт»")</f>
        <v>Ограждение стойки считывателя ОС-1 АЯКС, цвет оранжевый, «на асфальт»</v>
      </c>
      <c r="B161" s="6" t="str">
        <f ca="1">IFERROR(__xludf.DUMMYFUNCTION("""COMPUTED_VALUE"""),"Для защиты стойки считывателя от случайного механического воздействия, из трубы диаметром 28 мм . Высота ограждения над уровнем поверхности 83 см, ширина 43 см, цвет оранжевый по шкале RAL 2008")</f>
        <v>Для защиты стойки считывателя от случайного механического воздействия, из трубы диаметром 28 мм . Высота ограждения над уровнем поверхности 83 см, ширина 43 см, цвет оранжевый по шкале RAL 2008</v>
      </c>
      <c r="C161" s="9">
        <f ca="1">IFERROR(__xludf.DUMMYFUNCTION("""COMPUTED_VALUE"""),3407.8)</f>
        <v>3407.8</v>
      </c>
      <c r="D161" s="6"/>
      <c r="E161" s="8"/>
    </row>
    <row r="162" spans="1:5" ht="102">
      <c r="A162" s="5" t="str">
        <f ca="1">IFERROR(__xludf.DUMMYFUNCTION("""COMPUTED_VALUE"""),"Ограждение стойки считывателя ОС-1 АЯКС, цвет оранжевый, «под бетонирование»")</f>
        <v>Ограждение стойки считывателя ОС-1 АЯКС, цвет оранжевый, «под бетонирование»</v>
      </c>
      <c r="B162" s="6" t="str">
        <f ca="1">IFERROR(__xludf.DUMMYFUNCTION("""COMPUTED_VALUE"""),"Для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оранжевый по шкале "&amp;"RAL 2008")</f>
        <v>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оранжевый по шкале RAL 2008</v>
      </c>
      <c r="C162" s="9">
        <f ca="1">IFERROR(__xludf.DUMMYFUNCTION("""COMPUTED_VALUE"""),3696)</f>
        <v>3696</v>
      </c>
      <c r="D162" s="6"/>
      <c r="E162" s="8"/>
    </row>
    <row r="163" spans="1:5" ht="76.5">
      <c r="A163" s="5" t="str">
        <f ca="1">IFERROR(__xludf.DUMMYFUNCTION("""COMPUTED_VALUE"""),"Ограждение стойки считывателя ОС-1 АЯКС, цвет черный, «на асфальт»")</f>
        <v>Ограждение стойки считывателя ОС-1 АЯКС, цвет черный, «на асфальт»</v>
      </c>
      <c r="B163" s="6" t="str">
        <f ca="1">IFERROR(__xludf.DUMMYFUNCTION("""COMPUTED_VALUE"""),"Для защиты стойки считывателя от случайного механического воздействия, из трубы диаметром 28 мм Высота ограждения над уровнем поверхности 83 см, ширина 43 см,  цвет черный по шкале RAL 9005")</f>
        <v>Для защиты стойки считывателя от случайного механического воздействия, из трубы диаметром 28 мм Высота ограждения над уровнем поверхности 83 см, ширина 43 см,  цвет черный по шкале RAL 9005</v>
      </c>
      <c r="C163" s="9">
        <f ca="1">IFERROR(__xludf.DUMMYFUNCTION("""COMPUTED_VALUE"""),3407.8)</f>
        <v>3407.8</v>
      </c>
      <c r="D163" s="6"/>
      <c r="E163" s="8"/>
    </row>
    <row r="164" spans="1:5" ht="102">
      <c r="A164" s="5" t="str">
        <f ca="1">IFERROR(__xludf.DUMMYFUNCTION("""COMPUTED_VALUE"""),"Ограждение стойки считывателя ОС-1 АЯКС, цвет черный, «под бетонирование»")</f>
        <v>Ограждение стойки считывателя ОС-1 АЯКС, цвет черный, «под бетонирование»</v>
      </c>
      <c r="B164" s="6" t="str">
        <f ca="1">IFERROR(__xludf.DUMMYFUNCTION("""COMPUTED_VALUE"""),"Для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черные по шкале R"&amp;"AL 9005")</f>
        <v>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черные по шкале RAL 9005</v>
      </c>
      <c r="C164" s="9">
        <f ca="1">IFERROR(__xludf.DUMMYFUNCTION("""COMPUTED_VALUE"""),3696)</f>
        <v>3696</v>
      </c>
      <c r="D164" s="6"/>
      <c r="E164" s="8"/>
    </row>
    <row r="165" spans="1:5" ht="178.5">
      <c r="A165" s="5" t="str">
        <f ca="1">IFERROR(__xludf.DUMMYFUNCTION("""COMPUTED_VALUE"""),"Стойка (опора) пожарная СП-1 исп.00 (на асфальт)")</f>
        <v>Стойка (опора) пожарная СП-1 исп.00 (на асфальт)</v>
      </c>
      <c r="B165" s="6" t="str">
        <f ca="1">IFERROR(__xludf.DUMMYFUNCTION("""COMPUTED_VALUE"""),"Для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53"&amp;"5-50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f>
        <v>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v>
      </c>
      <c r="C165" s="9">
        <f ca="1">IFERROR(__xludf.DUMMYFUNCTION("""COMPUTED_VALUE"""),6441.6)</f>
        <v>6441.6</v>
      </c>
      <c r="D165" s="6"/>
      <c r="E165" s="8"/>
    </row>
    <row r="166" spans="1:5" ht="204">
      <c r="A166" s="5" t="str">
        <f ca="1">IFERROR(__xludf.DUMMYFUNCTION("""COMPUTED_VALUE"""),"Стойка (опора) пожарная СП-1 исп.01 (под бетонирование)")</f>
        <v>Стойка (опора) пожарная СП-1 исп.01 (под бетонирование)</v>
      </c>
      <c r="B166" s="6" t="str">
        <f ca="1">IFERROR(__xludf.DUMMYFUNCTION("""COMPUTED_VALUE"""),"Для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53"&amp;"5-50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 заклад"&amp;"ная пластина для бетонирования + комплект оцинкованного крепежа.")</f>
        <v>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 закладная пластина для бетонирования + комплект оцинкованного крепежа.</v>
      </c>
      <c r="C166" s="9">
        <f ca="1">IFERROR(__xludf.DUMMYFUNCTION("""COMPUTED_VALUE"""),7370)</f>
        <v>7370</v>
      </c>
      <c r="D166" s="6"/>
      <c r="E166" s="8"/>
    </row>
    <row r="167" spans="1:5" ht="178.5">
      <c r="A167" s="5" t="str">
        <f ca="1">IFERROR(__xludf.DUMMYFUNCTION("""COMPUTED_VALUE"""),"Стойка (опора) пожарная СП-1 исп.02 (в землю)")</f>
        <v>Стойка (опора) пожарная СП-1 исп.02 (в землю)</v>
      </c>
      <c r="B167" s="6" t="str">
        <f ca="1">IFERROR(__xludf.DUMMYFUNCTION("""COMPUTED_VALUE"""),"Для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53"&amp;"5-50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2000 мм, труба 30х60.")</f>
        <v>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2000 мм, труба 30х60.</v>
      </c>
      <c r="C167" s="9">
        <f ca="1">IFERROR(__xludf.DUMMYFUNCTION("""COMPUTED_VALUE"""),6215)</f>
        <v>6215</v>
      </c>
      <c r="D167" s="6"/>
      <c r="E167" s="8"/>
    </row>
    <row r="168" spans="1:5" ht="51">
      <c r="A168" s="5" t="str">
        <f ca="1">IFERROR(__xludf.DUMMYFUNCTION("""COMPUTED_VALUE"""),"Стойка для фотоэлемента 0,5м Аякс исп.00 (на асфальт), черная")</f>
        <v>Стойка для фотоэлемента 0,5м Аякс исп.00 (на асфальт), черная</v>
      </c>
      <c r="B168" s="6" t="str">
        <f ca="1">IFERROR(__xludf.DUMMYFUNCTION("""COMPUTED_VALUE"""),"Для монтажа фотоэлемента в системах безопасности автоматических шлагбаумов. Высота 0,5 м, труба 30х60 мм, цвет черный по шкале RAL 9005")</f>
        <v>Для монтажа фотоэлемента в системах безопасности автоматических шлагбаумов. Высота 0,5 м, труба 30х60 мм, цвет черный по шкале RAL 9005</v>
      </c>
      <c r="C168" s="9">
        <f ca="1">IFERROR(__xludf.DUMMYFUNCTION("""COMPUTED_VALUE"""),1650)</f>
        <v>1650</v>
      </c>
      <c r="D168" s="6"/>
      <c r="E168" s="8"/>
    </row>
    <row r="169" spans="1:5" ht="76.5">
      <c r="A169" s="5" t="str">
        <f ca="1">IFERROR(__xludf.DUMMYFUNCTION("""COMPUTED_VALUE"""),"Стойка для фотоэлемента 0,5м Аякс исп.01 (под бетонирование), черная")</f>
        <v>Стойка для фотоэлемента 0,5м Аякс исп.01 (под бетонирование), черная</v>
      </c>
      <c r="B169" s="6" t="str">
        <f ca="1">IFERROR(__xludf.DUMMYFUNCTION("""COMPUTED_VALUE"""),"Для монтажа фотоэлемента в системах безопасности автоматических шлагбаумов. Высота 0,5 м, труба 30х60 мм, цвет черный по шкале RAL 9005, закладная пластина для бетонирования + комплект оцинкованного крепежа.")</f>
        <v>Для монтажа фотоэлемента в системах безопасности автоматических шлагбаумов. Высота 0,5 м, труба 30х60 мм, цвет черный по шкале RAL 9005, закладная пластина для бетонирования + комплект оцинкованного крепежа.</v>
      </c>
      <c r="C169" s="9">
        <f ca="1">IFERROR(__xludf.DUMMYFUNCTION("""COMPUTED_VALUE"""),2650)</f>
        <v>2650</v>
      </c>
      <c r="D169" s="6"/>
      <c r="E169" s="8"/>
    </row>
    <row r="170" spans="1:5" ht="51">
      <c r="A170" s="5" t="str">
        <f ca="1">IFERROR(__xludf.DUMMYFUNCTION("""COMPUTED_VALUE"""),"Стойка для фотоэлемента 0,5м Аякс исп.00 (на асфальт), оранжевая")</f>
        <v>Стойка для фотоэлемента 0,5м Аякс исп.00 (на асфальт), оранжевая</v>
      </c>
      <c r="B170" s="6" t="str">
        <f ca="1">IFERROR(__xludf.DUMMYFUNCTION("""COMPUTED_VALUE"""),"Для монтажа фотоэлемента в системах безопасности автоматических шлагбаумов. Высота 0,5 м, труба 30х60 мм, цвет оранжевый по шкале RAL 2008")</f>
        <v>Для монтажа фотоэлемента в системах безопасности автоматических шлагбаумов. Высота 0,5 м, труба 30х60 мм, цвет оранжевый по шкале RAL 2008</v>
      </c>
      <c r="C170" s="9">
        <f ca="1">IFERROR(__xludf.DUMMYFUNCTION("""COMPUTED_VALUE"""),1650)</f>
        <v>1650</v>
      </c>
      <c r="D170" s="6"/>
      <c r="E170" s="8"/>
    </row>
    <row r="171" spans="1:5" ht="76.5">
      <c r="A171" s="5" t="str">
        <f ca="1">IFERROR(__xludf.DUMMYFUNCTION("""COMPUTED_VALUE"""),"Стойка для фотоэлемента Аякс 0,5м исп.01 (под бетонирование), оранжевая")</f>
        <v>Стойка для фотоэлемента Аякс 0,5м исп.01 (под бетонирование), оранжевая</v>
      </c>
      <c r="B171" s="6" t="str">
        <f ca="1">IFERROR(__xludf.DUMMYFUNCTION("""COMPUTED_VALUE"""),"Для монтажа фотоэлемента в системах безопасности автоматических шлагбаумов. Высота 0,5 м, труба 30х60 мм, цвет оранжеый по шкале RAL 2008, закладная пластина для бетонирования + комплект оцинкованного крепежа.")</f>
        <v>Для монтажа фотоэлемента в системах безопасности автоматических шлагбаумов. Высота 0,5 м, труба 30х60 мм, цвет оранжеый по шкале RAL 2008, закладная пластина для бетонирования + комплект оцинкованного крепежа.</v>
      </c>
      <c r="C171" s="9">
        <f ca="1">IFERROR(__xludf.DUMMYFUNCTION("""COMPUTED_VALUE"""),2650)</f>
        <v>2650</v>
      </c>
      <c r="D171" s="6"/>
      <c r="E171" s="8"/>
    </row>
    <row r="172" spans="1:5" ht="51">
      <c r="A172" s="5" t="str">
        <f ca="1">IFERROR(__xludf.DUMMYFUNCTION("""COMPUTED_VALUE"""),"Стойка для фотоэлемента 0,5м Аякс исп.00 (на асфальт), нержавеющая сталь")</f>
        <v>Стойка для фотоэлемента 0,5м Аякс исп.00 (на асфальт), нержавеющая сталь</v>
      </c>
      <c r="B172" s="6" t="str">
        <f ca="1">IFERROR(__xludf.DUMMYFUNCTION("""COMPUTED_VALUE"""),"Для монтажа фотоэлемента в системах безопасности автоматических шлагбаумов. Высота 0,5 м, труба 30х60 мм, нержавеющая сталь")</f>
        <v>Для монтажа фотоэлемента в системах безопасности автоматических шлагбаумов. Высота 0,5 м, труба 30х60 мм, нержавеющая сталь</v>
      </c>
      <c r="C172" s="9">
        <f ca="1">IFERROR(__xludf.DUMMYFUNCTION("""COMPUTED_VALUE"""),4200)</f>
        <v>4200</v>
      </c>
      <c r="D172" s="6"/>
      <c r="E172" s="8"/>
    </row>
    <row r="173" spans="1:5" ht="76.5">
      <c r="A173" s="5" t="str">
        <f ca="1">IFERROR(__xludf.DUMMYFUNCTION("""COMPUTED_VALUE"""),"Стойка для фотоэлемента Аякс 0,5м исп.01 (под бетонирование), нержавеющая сталь")</f>
        <v>Стойка для фотоэлемента Аякс 0,5м исп.01 (под бетонирование), нержавеющая сталь</v>
      </c>
      <c r="B173" s="6" t="str">
        <f ca="1">IFERROR(__xludf.DUMMYFUNCTION("""COMPUTED_VALUE"""),"Для монтажа фотоэлемента в системах безопасности автоматических шлагбаумов. Высота 0,5 м, труба 30х60 мм, нержавеющая сталь, закладная пластина для бетонирования + комплект оцинкованного крепежа.")</f>
        <v>Для монтажа фотоэлемента в системах безопасности автоматических шлагбаумов. Высота 0,5 м, труба 30х60 мм, нержавеющая сталь, закладная пластина для бетонирования + комплект оцинкованного крепежа.</v>
      </c>
      <c r="C173" s="9">
        <f ca="1">IFERROR(__xludf.DUMMYFUNCTION("""COMPUTED_VALUE"""),5200)</f>
        <v>5200</v>
      </c>
      <c r="D173" s="6"/>
      <c r="E173" s="8"/>
    </row>
    <row r="174" spans="1:5" ht="51">
      <c r="A174" s="5" t="str">
        <f ca="1">IFERROR(__xludf.DUMMYFUNCTION("""COMPUTED_VALUE"""),"Стойка для фотоэлемента 1,5м Аякс исп.00 (на асфальт), черная")</f>
        <v>Стойка для фотоэлемента 1,5м Аякс исп.00 (на асфальт), черная</v>
      </c>
      <c r="B174" s="6" t="str">
        <f ca="1">IFERROR(__xludf.DUMMYFUNCTION("""COMPUTED_VALUE"""),"Для монтажа фотоэлемента в контрольно-пропускных системах. Высота 1,5 м, труба 30х60 мм, цвет черный по шкале RAL 9005")</f>
        <v>Для монтажа фотоэлемента в контрольно-пропускных системах. Высота 1,5 м, труба 30х60 мм, цвет черный по шкале RAL 9005</v>
      </c>
      <c r="C174" s="9">
        <f ca="1">IFERROR(__xludf.DUMMYFUNCTION("""COMPUTED_VALUE"""),2650)</f>
        <v>2650</v>
      </c>
      <c r="D174" s="6"/>
      <c r="E174" s="8"/>
    </row>
    <row r="175" spans="1:5" ht="76.5">
      <c r="A175" s="5" t="str">
        <f ca="1">IFERROR(__xludf.DUMMYFUNCTION("""COMPUTED_VALUE"""),"Стойка для фотоэлемента 1,5м Аякс исп.01 (под бетонирование), черная")</f>
        <v>Стойка для фотоэлемента 1,5м Аякс исп.01 (под бетонирование), черная</v>
      </c>
      <c r="B175" s="6" t="str">
        <f ca="1">IFERROR(__xludf.DUMMYFUNCTION("""COMPUTED_VALUE"""),"Для монтажа фотоэлемента в в контрольно-пропускных системах. Высота 1,5 м, труба 30х60 мм, цвет черный по шкале RAL 9005, закладная пластина для бетонирования + комплект оцинкованного крепежа.")</f>
        <v>Для монтажа фотоэлемента в в контрольно-пропускных системах. Высота 1,5 м, труба 30х60 мм, цвет черный по шкале RAL 9005, закладная пластина для бетонирования + комплект оцинкованного крепежа.</v>
      </c>
      <c r="C175" s="9">
        <f ca="1">IFERROR(__xludf.DUMMYFUNCTION("""COMPUTED_VALUE"""),3650)</f>
        <v>3650</v>
      </c>
      <c r="D175" s="6"/>
      <c r="E175" s="8"/>
    </row>
    <row r="176" spans="1:5" ht="51">
      <c r="A176" s="5" t="str">
        <f ca="1">IFERROR(__xludf.DUMMYFUNCTION("""COMPUTED_VALUE"""),"Стойка для фотоэлемента 1,5м Аякс исп.00 (на асфальт), оранжевая")</f>
        <v>Стойка для фотоэлемента 1,5м Аякс исп.00 (на асфальт), оранжевая</v>
      </c>
      <c r="B176" s="6" t="str">
        <f ca="1">IFERROR(__xludf.DUMMYFUNCTION("""COMPUTED_VALUE"""),"Для монтажа фотоэлемента в в контрольно-пропускных системах. Высота 1,5 м, труба 30х60 мм, цвет оранжевый по шкале RAL 2008")</f>
        <v>Для монтажа фотоэлемента в в контрольно-пропускных системах. Высота 1,5 м, труба 30х60 мм, цвет оранжевый по шкале RAL 2008</v>
      </c>
      <c r="C176" s="9">
        <f ca="1">IFERROR(__xludf.DUMMYFUNCTION("""COMPUTED_VALUE"""),2650)</f>
        <v>2650</v>
      </c>
      <c r="D176" s="6"/>
      <c r="E176" s="8"/>
    </row>
    <row r="177" spans="1:5" ht="76.5">
      <c r="A177" s="5" t="str">
        <f ca="1">IFERROR(__xludf.DUMMYFUNCTION("""COMPUTED_VALUE"""),"Стойка для фотоэлемента Аякс 1,5м исп.01 (под бетонирование), оранжевая")</f>
        <v>Стойка для фотоэлемента Аякс 1,5м исп.01 (под бетонирование), оранжевая</v>
      </c>
      <c r="B177" s="6" t="str">
        <f ca="1">IFERROR(__xludf.DUMMYFUNCTION("""COMPUTED_VALUE"""),"Для монтажа фотоэлемента в контрольно-пропускных системах. Высота 1,5 м, труба 30х60 мм, цвет оранжеый по шкале RAL 2008, закладная пластина для бетонирования + комплект оцинкованного крепежа.")</f>
        <v>Для монтажа фотоэлемента в контрольно-пропускных системах. Высота 1,5 м, труба 30х60 мм, цвет оранжеый по шкале RAL 2008, закладная пластина для бетонирования + комплект оцинкованного крепежа.</v>
      </c>
      <c r="C177" s="9">
        <f ca="1">IFERROR(__xludf.DUMMYFUNCTION("""COMPUTED_VALUE"""),3650)</f>
        <v>3650</v>
      </c>
      <c r="D177" s="6"/>
      <c r="E177" s="8"/>
    </row>
    <row r="178" spans="1:5" ht="38.25">
      <c r="A178" s="5" t="str">
        <f ca="1">IFERROR(__xludf.DUMMYFUNCTION("""COMPUTED_VALUE"""),"Стойка для фотоэлемента 1,5м Аякс исп.00 (на асфальт), нержавеющая сталь")</f>
        <v>Стойка для фотоэлемента 1,5м Аякс исп.00 (на асфальт), нержавеющая сталь</v>
      </c>
      <c r="B178" s="6" t="str">
        <f ca="1">IFERROR(__xludf.DUMMYFUNCTION("""COMPUTED_VALUE"""),"Для монтажа фотоэлемента в контрольно-пропускных системах. Высота 1,5 м, труба 30х60 мм, нержавеющая сталь")</f>
        <v>Для монтажа фотоэлемента в контрольно-пропускных системах. Высота 1,5 м, труба 30х60 мм, нержавеющая сталь</v>
      </c>
      <c r="C178" s="9">
        <f ca="1">IFERROR(__xludf.DUMMYFUNCTION("""COMPUTED_VALUE"""),6650)</f>
        <v>6650</v>
      </c>
      <c r="D178" s="6"/>
      <c r="E178" s="8"/>
    </row>
    <row r="179" spans="1:5" ht="76.5">
      <c r="A179" s="5" t="str">
        <f ca="1">IFERROR(__xludf.DUMMYFUNCTION("""COMPUTED_VALUE"""),"Стойка для фотоэлемента 1,5м Аякс исп.01 (под бетонирование), нержавеющая сталь")</f>
        <v>Стойка для фотоэлемента 1,5м Аякс исп.01 (под бетонирование), нержавеющая сталь</v>
      </c>
      <c r="B179" s="6" t="str">
        <f ca="1">IFERROR(__xludf.DUMMYFUNCTION("""COMPUTED_VALUE"""),"Для монтажа фотоэлемента в в контрольно-пропускных системах. Высота 1,5 м, труба 30х60 мм, нержавеющая сталь, закладная пластина для бетонирования + комплект оцинкованного крепежа.")</f>
        <v>Для монтажа фотоэлемента в в контрольно-пропускных системах. Высота 1,5 м, труба 30х60 мм, нержавеющая сталь, закладная пластина для бетонирования + комплект оцинкованного крепежа.</v>
      </c>
      <c r="C179" s="9">
        <f ca="1">IFERROR(__xludf.DUMMYFUNCTION("""COMPUTED_VALUE"""),7650)</f>
        <v>7650</v>
      </c>
      <c r="D179" s="6"/>
      <c r="E179" s="8"/>
    </row>
    <row r="180" spans="1:5" ht="76.5">
      <c r="A180" s="5" t="str">
        <f ca="1">IFERROR(__xludf.DUMMYFUNCTION("""COMPUTED_VALUE"""),"Козырек защитный универсальный 135х58 АЯКС, черный")</f>
        <v>Козырек защитный универсальный 135х58 АЯКС, черный</v>
      </c>
      <c r="B180" s="6" t="str">
        <f ca="1">IFERROR(__xludf.DUMMYFUNCTION("""COMPUTED_VALUE"""),"Для защиты фотоэлеменов, кнопок выхода, вызывных панелей видеодмофона от засветки и атмосферных осадков. Габаритные размеры 135х58х50, цвет черный по шкале RAL 9005")</f>
        <v>Для защиты фотоэлеменов, кнопок выхода, вызывных панелей видеодмофона от засветки и атмосферных осадков. Габаритные размеры 135х58х50, цвет черный по шкале RAL 9005</v>
      </c>
      <c r="C180" s="9">
        <f ca="1">IFERROR(__xludf.DUMMYFUNCTION("""COMPUTED_VALUE"""),980)</f>
        <v>980</v>
      </c>
      <c r="D180" s="6"/>
      <c r="E180" s="8"/>
    </row>
    <row r="181" spans="1:5" ht="76.5">
      <c r="A181" s="5" t="str">
        <f ca="1">IFERROR(__xludf.DUMMYFUNCTION("""COMPUTED_VALUE"""),"Козырек защитный универсальный 135х58 АЯКС, оранжевый")</f>
        <v>Козырек защитный универсальный 135х58 АЯКС, оранжевый</v>
      </c>
      <c r="B181" s="6" t="str">
        <f ca="1">IFERROR(__xludf.DUMMYFUNCTION("""COMPUTED_VALUE"""),"Для защиты фотоэлеменов, кнопок выхода, вызывных панелей видеодмофона от засветки и атмосферных осадков. Габаритные размеры 135х58х50, цвет оранжевый по шкале RAL 2008")</f>
        <v>Для защиты фотоэлеменов, кнопок выхода, вызывных панелей видеодмофона от засветки и атмосферных осадков. Габаритные размеры 135х58х50, цвет оранжевый по шкале RAL 2008</v>
      </c>
      <c r="C181" s="9">
        <f ca="1">IFERROR(__xludf.DUMMYFUNCTION("""COMPUTED_VALUE"""),980)</f>
        <v>980</v>
      </c>
      <c r="D181" s="6"/>
      <c r="E181" s="8"/>
    </row>
    <row r="182" spans="1:5" ht="63.75">
      <c r="A182" s="5" t="str">
        <f ca="1">IFERROR(__xludf.DUMMYFUNCTION("""COMPUTED_VALUE"""),"Козырек защитный универсальный 135х58 АЯКС, нержавеющая сталь")</f>
        <v>Козырек защитный универсальный 135х58 АЯКС, нержавеющая сталь</v>
      </c>
      <c r="B182" s="6" t="str">
        <f ca="1">IFERROR(__xludf.DUMMYFUNCTION("""COMPUTED_VALUE"""),"Для защиты фотоэлеменов, кнопок выхода, вызывных панелей видеодмофона от засветки и атмосферных осадков. Габаритные размеры 135х58х50, нержавеющая сталь")</f>
        <v>Для защиты фотоэлеменов, кнопок выхода, вызывных панелей видеодмофона от засветки и атмосферных осадков. Габаритные размеры 135х58х50, нержавеющая сталь</v>
      </c>
      <c r="C182" s="9">
        <f ca="1">IFERROR(__xludf.DUMMYFUNCTION("""COMPUTED_VALUE"""),2480)</f>
        <v>2480</v>
      </c>
      <c r="D182" s="6"/>
      <c r="E182" s="8"/>
    </row>
    <row r="183" spans="1:5" ht="127.5">
      <c r="A183" s="5" t="str">
        <f ca="1">IFERROR(__xludf.DUMMYFUNCTION("""COMPUTED_VALUE"""),"Стойка (опора) пожарная универсальная СПУ-02 исп.00 (на асфальт)
        ")</f>
        <v xml:space="preserve">Стойка (опора) пожарная универсальная СПУ-02 исп.00 (на асфальт)
        </v>
      </c>
      <c r="B183" s="6" t="str">
        <f ca="1">IFERROR(__xludf.DUMMYFUNCTION("""COMPUTED_VALUE"""),"Предназначена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выше"&amp;"указанных приборов различных производителей.")</f>
        <v>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вышеуказанных приборов различных производителей.</v>
      </c>
      <c r="C183" s="9">
        <f ca="1">IFERROR(__xludf.DUMMYFUNCTION("""COMPUTED_VALUE"""),7048.8)</f>
        <v>7048.8</v>
      </c>
      <c r="D183" s="6"/>
      <c r="E183" s="8"/>
    </row>
    <row r="184" spans="1:5" ht="127.5">
      <c r="A184" s="5" t="str">
        <f ca="1">IFERROR(__xludf.DUMMYFUNCTION("""COMPUTED_VALUE"""),"Стойка (опора) пожарная универсальная СПУ-02 исп.01 (под бетонирование)")</f>
        <v>Стойка (опора) пожарная универсальная СПУ-02 исп.01 (под бетонирование)</v>
      </c>
      <c r="B184" s="6" t="str">
        <f ca="1">IFERROR(__xludf.DUMMYFUNCTION("""COMPUTED_VALUE"""),"Предназначена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выше"&amp;"указанных приборов различных производителей.")</f>
        <v>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вышеуказанных приборов различных производителей.</v>
      </c>
      <c r="C184" s="9">
        <f ca="1">IFERROR(__xludf.DUMMYFUNCTION("""COMPUTED_VALUE"""),8107)</f>
        <v>8107</v>
      </c>
      <c r="D184" s="6"/>
      <c r="E184" s="8"/>
    </row>
    <row r="185" spans="1:5" ht="127.5">
      <c r="A185" s="5" t="str">
        <f ca="1">IFERROR(__xludf.DUMMYFUNCTION("""COMPUTED_VALUE"""),"Стойка (опора) пожарная универсальная СПУ-02 исп.02 (в землю)")</f>
        <v>Стойка (опора) пожарная универсальная СПУ-02 исп.02 (в землю)</v>
      </c>
      <c r="B185" s="6" t="str">
        <f ca="1">IFERROR(__xludf.DUMMYFUNCTION("""COMPUTED_VALUE"""),"Предназначена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выше"&amp;"указанных приборов различных производителей.")</f>
        <v>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вышеуказанных приборов различных производителей.</v>
      </c>
      <c r="C185" s="9">
        <f ca="1">IFERROR(__xludf.DUMMYFUNCTION("""COMPUTED_VALUE"""),6820)</f>
        <v>6820</v>
      </c>
      <c r="D185" s="6"/>
      <c r="E185" s="8"/>
    </row>
    <row r="186" spans="1:5" ht="76.5">
      <c r="A186" s="5" t="str">
        <f ca="1">IFERROR(__xludf.DUMMYFUNCTION("""COMPUTED_VALUE"""),"Стойка кноки выхода Аякс исп.00 (на асфальт), черная")</f>
        <v>Стойка кноки выхода Аякс исп.00 (на асфальт), черная</v>
      </c>
      <c r="B186" s="6" t="str">
        <f ca="1">IFERROR(__xludf.DUMMYFUNCTION("""COMPUTED_VALUE"""),"Для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черный по шкале RAL 9005")</f>
        <v>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черный по шкале RAL 9005</v>
      </c>
      <c r="C186" s="9">
        <f ca="1">IFERROR(__xludf.DUMMYFUNCTION("""COMPUTED_VALUE"""),6441.6)</f>
        <v>6441.6</v>
      </c>
      <c r="D186" s="6"/>
      <c r="E186" s="8"/>
    </row>
    <row r="187" spans="1:5" ht="102">
      <c r="A187" s="5" t="str">
        <f ca="1">IFERROR(__xludf.DUMMYFUNCTION("""COMPUTED_VALUE"""),"Стойка кноки выхода Аякс исп.01 (под бетонирование), черная")</f>
        <v>Стойка кноки выхода Аякс исп.01 (под бетонирование), черная</v>
      </c>
      <c r="B187" s="6" t="str">
        <f ca="1">IFERROR(__xludf.DUMMYFUNCTION("""COMPUTED_VALUE"""),"Для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черный по шкале R"&amp;"AL 9005")</f>
        <v>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черный по шкале RAL 9005</v>
      </c>
      <c r="C187" s="9">
        <f ca="1">IFERROR(__xludf.DUMMYFUNCTION("""COMPUTED_VALUE"""),7370)</f>
        <v>7370</v>
      </c>
      <c r="D187" s="6"/>
      <c r="E187" s="8"/>
    </row>
    <row r="188" spans="1:5" ht="63.75">
      <c r="A188" s="5" t="str">
        <f ca="1">IFERROR(__xludf.DUMMYFUNCTION("""COMPUTED_VALUE"""),"Стойка кноки выхода Аякс исп.02 (в землю), черная")</f>
        <v>Стойка кноки выхода Аякс исп.02 (в землю), черная</v>
      </c>
      <c r="B188" s="6" t="str">
        <f ca="1">IFERROR(__xludf.DUMMYFUNCTION("""COMPUTED_VALUE"""),"Для монтажа кнопки выхода систем контроля и управления доступом. Защитный козырек от атмосферных осадков. Длина 1500 мм, труба 30х60 мм, цвет черный по шкале RAL 9005")</f>
        <v>Для монтажа кнопки выхода систем контроля и управления доступом. Защитный козырек от атмосферных осадков. Длина 1500 мм, труба 30х60 мм, цвет черный по шкале RAL 9005</v>
      </c>
      <c r="C188" s="9">
        <f ca="1">IFERROR(__xludf.DUMMYFUNCTION("""COMPUTED_VALUE"""),6215)</f>
        <v>6215</v>
      </c>
      <c r="D188" s="6"/>
      <c r="E188" s="8"/>
    </row>
    <row r="189" spans="1:5" ht="76.5">
      <c r="A189" s="5" t="str">
        <f ca="1">IFERROR(__xludf.DUMMYFUNCTION("""COMPUTED_VALUE"""),"Стойка кноки выхода Аякс исп.00 (на асфальт), оранжевая")</f>
        <v>Стойка кноки выхода Аякс исп.00 (на асфальт), оранжевая</v>
      </c>
      <c r="B189" s="6" t="str">
        <f ca="1">IFERROR(__xludf.DUMMYFUNCTION("""COMPUTED_VALUE"""),"Для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оранжевый по шкале RAL 2008")</f>
        <v>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оранжевый по шкале RAL 2008</v>
      </c>
      <c r="C189" s="9">
        <f ca="1">IFERROR(__xludf.DUMMYFUNCTION("""COMPUTED_VALUE"""),6441.6)</f>
        <v>6441.6</v>
      </c>
      <c r="D189" s="6"/>
      <c r="E189" s="8"/>
    </row>
    <row r="190" spans="1:5" ht="102">
      <c r="A190" s="5" t="str">
        <f ca="1">IFERROR(__xludf.DUMMYFUNCTION("""COMPUTED_VALUE"""),"Стойка кноки выхода Аякс исп.01 (под бетонирование), оранжевая")</f>
        <v>Стойка кноки выхода Аякс исп.01 (под бетонирование), оранжевая</v>
      </c>
      <c r="B190" s="6" t="str">
        <f ca="1">IFERROR(__xludf.DUMMYFUNCTION("""COMPUTED_VALUE"""),"Для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оранжевый по шкал"&amp;"е RAL 2008")</f>
        <v>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оранжевый по шкале RAL 2008</v>
      </c>
      <c r="C190" s="9">
        <f ca="1">IFERROR(__xludf.DUMMYFUNCTION("""COMPUTED_VALUE"""),7370)</f>
        <v>7370</v>
      </c>
      <c r="D190" s="6"/>
      <c r="E190" s="8"/>
    </row>
    <row r="191" spans="1:5" ht="63.75">
      <c r="A191" s="5" t="str">
        <f ca="1">IFERROR(__xludf.DUMMYFUNCTION("""COMPUTED_VALUE"""),"Стойка кноки выхода Аякс исп.02 (в землю), оранжевая")</f>
        <v>Стойка кноки выхода Аякс исп.02 (в землю), оранжевая</v>
      </c>
      <c r="B191" s="6" t="str">
        <f ca="1">IFERROR(__xludf.DUMMYFUNCTION("""COMPUTED_VALUE"""),"Для монтажа кнопки выхода систем контроля и управления доступом. Защитный козырек от атмосферных осадков. Длина 1500 мм, труба 30х60 мм, цвет оранжевый по шкале RAL 2008")</f>
        <v>Для монтажа кнопки выхода систем контроля и управления доступом. Защитный козырек от атмосферных осадков. Длина 1500 мм, труба 30х60 мм, цвет оранжевый по шкале RAL 2008</v>
      </c>
      <c r="C191" s="9">
        <f ca="1">IFERROR(__xludf.DUMMYFUNCTION("""COMPUTED_VALUE"""),6215)</f>
        <v>6215</v>
      </c>
      <c r="D191" s="6"/>
      <c r="E191" s="8"/>
    </row>
    <row r="192" spans="1:5" ht="114.75">
      <c r="A192" s="10" t="str">
        <f ca="1">IFERROR(__xludf.DUMMYFUNCTION("""COMPUTED_VALUE"""),"Стойка для считывателя Аякс 150х150 мм, оранжевая, Базовая, наклонная")</f>
        <v>Стойка для считывателя Аякс 150х150 мм, оранжевая, Базовая, наклонная</v>
      </c>
      <c r="B192"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оцин"&amp;"кованного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192" s="9">
        <f ca="1">IFERROR(__xludf.DUMMYFUNCTION("""COMPUTED_VALUE"""),5994)</f>
        <v>5994</v>
      </c>
      <c r="D192" s="6"/>
      <c r="E192" s="8"/>
    </row>
    <row r="193" spans="1:5" ht="89.25">
      <c r="A193" s="5" t="str">
        <f ca="1">IFERROR(__xludf.DUMMYFUNCTION("""COMPUTED_VALUE"""),"Стойка для считывателя Аякс 150х150 мм, оранжевая, Лайт, наклонная")</f>
        <v>Стойка для считывателя Аякс 150х150 мм, оранжевая, Лайт, наклонная</v>
      </c>
      <c r="B193"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оранжевый по шкале RAL 2008</v>
      </c>
      <c r="C193" s="9">
        <f ca="1">IFERROR(__xludf.DUMMYFUNCTION("""COMPUTED_VALUE"""),5733)</f>
        <v>5733</v>
      </c>
      <c r="D193" s="6"/>
      <c r="E193" s="8"/>
    </row>
    <row r="194" spans="1:5" ht="114.75">
      <c r="A194" s="5" t="str">
        <f ca="1">IFERROR(__xludf.DUMMYFUNCTION("""COMPUTED_VALUE"""),"Стойка для считывателя Аякс 150х150 мм, черная, Базовая, наклонная")</f>
        <v>Стойка для считывателя Аякс 150х150 мм, черная, Базовая, наклонная</v>
      </c>
      <c r="B194"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оцин"&amp;"кованного крепежа,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194" s="9">
        <f ca="1">IFERROR(__xludf.DUMMYFUNCTION("""COMPUTED_VALUE"""),5994)</f>
        <v>5994</v>
      </c>
      <c r="D194" s="6"/>
      <c r="E194" s="8"/>
    </row>
    <row r="195" spans="1:5" ht="89.25">
      <c r="A195" s="5" t="str">
        <f ca="1">IFERROR(__xludf.DUMMYFUNCTION("""COMPUTED_VALUE"""),"Стойка для считывателя Аякс 150х150 мм, черная, Лайт, наклонная")</f>
        <v>Стойка для считывателя Аякс 150х150 мм, черная, Лайт, наклонная</v>
      </c>
      <c r="B195"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v>
      </c>
      <c r="C195" s="9">
        <f ca="1">IFERROR(__xludf.DUMMYFUNCTION("""COMPUTED_VALUE"""),5733)</f>
        <v>5733</v>
      </c>
      <c r="D195" s="6"/>
      <c r="E195" s="8"/>
    </row>
    <row r="196" spans="1:5" ht="114.75">
      <c r="A196" s="5" t="str">
        <f ca="1">IFERROR(__xludf.DUMMYFUNCTION("""COMPUTED_VALUE"""),"Стойка для считывателя Аякс 150х150 мм, оранжевая, Базовая, прямая")</f>
        <v>Стойка для считывателя Аякс 150х150 мм, оранжевая, Базовая, прямая</v>
      </c>
      <c r="B196" s="6" t="str">
        <f ca="1">IFERROR(__xludf.DUMMYFUNCTION("""COMPUTED_VALUE"""),"Прямая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крепе"&amp;"жа, цвет оранжевый по шкале RAL 2008")</f>
        <v>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196" s="9">
        <f ca="1">IFERROR(__xludf.DUMMYFUNCTION("""COMPUTED_VALUE"""),5839.5)</f>
        <v>5839.5</v>
      </c>
      <c r="D196" s="6"/>
      <c r="E196" s="8"/>
    </row>
    <row r="197" spans="1:5" ht="114.75">
      <c r="A197" s="5" t="str">
        <f ca="1">IFERROR(__xludf.DUMMYFUNCTION("""COMPUTED_VALUE"""),"Стойка для считывателя Аякс 150х150 мм, черная, Базовая, прямая")</f>
        <v>Стойка для считывателя Аякс 150х150 мм, черная, Базовая, прямая</v>
      </c>
      <c r="B197" s="6" t="str">
        <f ca="1">IFERROR(__xludf.DUMMYFUNCTION("""COMPUTED_VALUE"""),"Прямая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крепе"&amp;"жа, цвет черный по шкале RAL 9005")</f>
        <v>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197" s="9">
        <f ca="1">IFERROR(__xludf.DUMMYFUNCTION("""COMPUTED_VALUE"""),5839.5)</f>
        <v>5839.5</v>
      </c>
      <c r="D197" s="6"/>
      <c r="E197" s="8"/>
    </row>
    <row r="198" spans="1:5" ht="114.75">
      <c r="A198" s="5" t="str">
        <f ca="1">IFERROR(__xludf.DUMMYFUNCTION("""COMPUTED_VALUE"""),"Стойка для считывателя Аякс 170х180 мм, оранжевая, Базовая, наклонная")</f>
        <v>Стойка для считывателя Аякс 170х180 мм, оранжевая, Базовая, наклонная</v>
      </c>
      <c r="B198" s="6" t="str">
        <f ca="1">IFERROR(__xludf.DUMMYFUNCTION("""COMPUTED_VALUE"""),"Наклонная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оцин"&amp;"кованного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198" s="9">
        <f ca="1">IFERROR(__xludf.DUMMYFUNCTION("""COMPUTED_VALUE"""),6273)</f>
        <v>6273</v>
      </c>
      <c r="D198" s="6"/>
      <c r="E198" s="8"/>
    </row>
    <row r="199" spans="1:5" ht="89.25">
      <c r="A199" s="5" t="str">
        <f ca="1">IFERROR(__xludf.DUMMYFUNCTION("""COMPUTED_VALUE"""),"Стойка для считывателя Аякс 170х180 мм, оранжевая, Лайт, наклонная")</f>
        <v>Стойка для считывателя Аякс 170х180 мм, оранжевая, Лайт, наклонная</v>
      </c>
      <c r="B199" s="6" t="str">
        <f ca="1">IFERROR(__xludf.DUMMYFUNCTION("""COMPUTED_VALUE"""),"Наклонная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цвет оранжевый по шкале RAL 2008</v>
      </c>
      <c r="C199" s="9">
        <f ca="1">IFERROR(__xludf.DUMMYFUNCTION("""COMPUTED_VALUE"""),6063)</f>
        <v>6063</v>
      </c>
      <c r="D199" s="6"/>
      <c r="E199" s="8"/>
    </row>
    <row r="200" spans="1:5" ht="114.75">
      <c r="A200" s="5" t="str">
        <f ca="1">IFERROR(__xludf.DUMMYFUNCTION("""COMPUTED_VALUE"""),"Стойка для считывателя Аякс 170х180 мм, черная, Базовая, наклонная")</f>
        <v>Стойка для считывателя Аякс 170х180 мм, черная, Базовая, наклонная</v>
      </c>
      <c r="B200" s="6" t="str">
        <f ca="1">IFERROR(__xludf.DUMMYFUNCTION("""COMPUTED_VALUE"""),"Наклонная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оцин"&amp;"кованного крепежа, цвет черный по шкале RAL 9005")</f>
        <v>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0" s="9">
        <f ca="1">IFERROR(__xludf.DUMMYFUNCTION("""COMPUTED_VALUE"""),6334.5)</f>
        <v>6334.5</v>
      </c>
      <c r="D200" s="6"/>
      <c r="E200" s="8"/>
    </row>
    <row r="201" spans="1:5" ht="89.25">
      <c r="A201" s="5" t="str">
        <f ca="1">IFERROR(__xludf.DUMMYFUNCTION("""COMPUTED_VALUE"""),"Стойка для считывателя Аякс 170х180 мм, черная, Лайт, наклонная")</f>
        <v>Стойка для считывателя Аякс 170х180 мм, черная, Лайт, наклонная</v>
      </c>
      <c r="B201"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v>
      </c>
      <c r="C201" s="9">
        <f ca="1">IFERROR(__xludf.DUMMYFUNCTION("""COMPUTED_VALUE"""),6063)</f>
        <v>6063</v>
      </c>
      <c r="D201" s="6"/>
      <c r="E201" s="8"/>
    </row>
    <row r="202" spans="1:5" ht="114.75">
      <c r="A202" s="5" t="str">
        <f ca="1">IFERROR(__xludf.DUMMYFUNCTION("""COMPUTED_VALUE"""),"Стойка для считывателя Аякс 170х180 мм, оранжевая, Базовая, прямая")</f>
        <v>Стойка для считывателя Аякс 170х180 мм, оранжевая, Базовая, прямая</v>
      </c>
      <c r="B202" s="6" t="str">
        <f ca="1">IFERROR(__xludf.DUMMYFUNCTION("""COMPUTED_VALUE"""),"Прямая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крепе"&amp;"жа, цвет оранжевый по шкале RAL 2008")</f>
        <v>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2" s="9">
        <f ca="1">IFERROR(__xludf.DUMMYFUNCTION("""COMPUTED_VALUE"""),6055.5)</f>
        <v>6055.5</v>
      </c>
      <c r="D202" s="6"/>
      <c r="E202" s="8"/>
    </row>
    <row r="203" spans="1:5" ht="114.75">
      <c r="A203" s="5" t="str">
        <f ca="1">IFERROR(__xludf.DUMMYFUNCTION("""COMPUTED_VALUE"""),"Стойка для считывателя Аякс 170х180 мм, черная, Базовая, прямая")</f>
        <v>Стойка для считывателя Аякс 170х180 мм, черная, Базовая, прямая</v>
      </c>
      <c r="B203" s="6" t="str">
        <f ca="1">IFERROR(__xludf.DUMMYFUNCTION("""COMPUTED_VALUE"""),"Прямая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крепе"&amp;"жа, цвет черный по шкале RAL 9005")</f>
        <v>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3" s="9">
        <f ca="1">IFERROR(__xludf.DUMMYFUNCTION("""COMPUTED_VALUE"""),6055.5)</f>
        <v>6055.5</v>
      </c>
      <c r="D203" s="6"/>
      <c r="E203" s="8"/>
    </row>
    <row r="204" spans="1:5" ht="114.75">
      <c r="A204" s="5" t="str">
        <f ca="1">IFERROR(__xludf.DUMMYFUNCTION("""COMPUTED_VALUE"""),"Стойка для считывателя Аякс 150х250 мм, оранжевая, Базовая, наклонная")</f>
        <v>Стойка для считывателя Аякс 150х250 мм, оранжевая, Базовая, наклонная</v>
      </c>
      <c r="B204" s="6" t="str">
        <f ca="1">IFERROR(__xludf.DUMMYFUNCTION("""COMPUTED_VALUE"""),"Наклонная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оци"&amp;"нкованного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4" s="9">
        <f ca="1">IFERROR(__xludf.DUMMYFUNCTION("""COMPUTED_VALUE"""),6612)</f>
        <v>6612</v>
      </c>
      <c r="D204" s="6"/>
      <c r="E204" s="8"/>
    </row>
    <row r="205" spans="1:5" ht="89.25">
      <c r="A205" s="5" t="str">
        <f ca="1">IFERROR(__xludf.DUMMYFUNCTION("""COMPUTED_VALUE"""),"Стойка для считывателя Аякс 150х250 мм, оранжевая, Лайт, наклонная")</f>
        <v>Стойка для считывателя Аякс 150х250 мм, оранжевая, Лайт, наклонная</v>
      </c>
      <c r="B205" s="6" t="str">
        <f ca="1">IFERROR(__xludf.DUMMYFUNCTION("""COMPUTED_VALUE"""),"Наклонная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цвет оранжевый по шкале RAL 2008</v>
      </c>
      <c r="C205" s="9">
        <f ca="1">IFERROR(__xludf.DUMMYFUNCTION("""COMPUTED_VALUE"""),6363)</f>
        <v>6363</v>
      </c>
      <c r="D205" s="6"/>
      <c r="E205" s="8"/>
    </row>
    <row r="206" spans="1:5" ht="114.75">
      <c r="A206" s="5" t="str">
        <f ca="1">IFERROR(__xludf.DUMMYFUNCTION("""COMPUTED_VALUE"""),"Стойка для считывателя Аякс 150х250 мм, черная, Базовая, наклонная")</f>
        <v>Стойка для считывателя Аякс 150х250 мм, черная, Базовая, наклонная</v>
      </c>
      <c r="B206" s="6" t="str">
        <f ca="1">IFERROR(__xludf.DUMMYFUNCTION("""COMPUTED_VALUE"""),"Наклонная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оци"&amp;"нкованного крепежа, цвет черный по шкале RAL 9005")</f>
        <v>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6" s="9">
        <f ca="1">IFERROR(__xludf.DUMMYFUNCTION("""COMPUTED_VALUE"""),6612)</f>
        <v>6612</v>
      </c>
      <c r="D206" s="6"/>
      <c r="E206" s="8"/>
    </row>
    <row r="207" spans="1:5" ht="89.25">
      <c r="A207" s="5" t="str">
        <f ca="1">IFERROR(__xludf.DUMMYFUNCTION("""COMPUTED_VALUE"""),"Стойка для считывателя Аякс 150х250 мм, черная, Лайт, наклонная")</f>
        <v>Стойка для считывателя Аякс 150х250 мм, черная, Лайт, наклонная</v>
      </c>
      <c r="B207"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v>
      </c>
      <c r="C207" s="9">
        <f ca="1">IFERROR(__xludf.DUMMYFUNCTION("""COMPUTED_VALUE"""),6363)</f>
        <v>6363</v>
      </c>
      <c r="D207" s="6"/>
      <c r="E207" s="8"/>
    </row>
    <row r="208" spans="1:5" ht="114.75">
      <c r="A208" s="5" t="str">
        <f ca="1">IFERROR(__xludf.DUMMYFUNCTION("""COMPUTED_VALUE"""),"Стойка для считывателя Аякс 150х250 мм, оранжевая, Базовая, прямая")</f>
        <v>Стойка для считывателя Аякс 150х250 мм, оранжевая, Базовая, прямая</v>
      </c>
      <c r="B208" s="6" t="str">
        <f ca="1">IFERROR(__xludf.DUMMYFUNCTION("""COMPUTED_VALUE"""),"Прямая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креп"&amp;"ежа, цвет оранжевый по шкале RAL 2008")</f>
        <v>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8" s="9">
        <f ca="1">IFERROR(__xludf.DUMMYFUNCTION("""COMPUTED_VALUE"""),6457.5)</f>
        <v>6457.5</v>
      </c>
      <c r="D208" s="6"/>
      <c r="E208" s="8"/>
    </row>
    <row r="209" spans="1:5" ht="114.75">
      <c r="A209" s="5" t="str">
        <f ca="1">IFERROR(__xludf.DUMMYFUNCTION("""COMPUTED_VALUE"""),"Стойка для считывателя Аякс 150х250 мм, черная, Базовая, прямая")</f>
        <v>Стойка для считывателя Аякс 150х250 мм, черная, Базовая, прямая</v>
      </c>
      <c r="B209" s="6" t="str">
        <f ca="1">IFERROR(__xludf.DUMMYFUNCTION("""COMPUTED_VALUE"""),"Прямая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креп"&amp;"ежа, цвет черный по шкале RAL 9005")</f>
        <v>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9" s="9">
        <f ca="1">IFERROR(__xludf.DUMMYFUNCTION("""COMPUTED_VALUE"""),6457.5)</f>
        <v>6457.5</v>
      </c>
      <c r="D209" s="6"/>
      <c r="E209" s="8"/>
    </row>
    <row r="210" spans="1:5" ht="114.75">
      <c r="A210" s="5" t="str">
        <f ca="1">IFERROR(__xludf.DUMMYFUNCTION("""COMPUTED_VALUE"""),"Стойка для считывателя Аякс 300х400 мм, оранжевая, Базовая, наклонная")</f>
        <v>Стойка для считывателя Аякс 300х400 мм, оранжевая, Базовая, наклонная</v>
      </c>
      <c r="B210"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оци"&amp;"нкованного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10" s="9">
        <f ca="1">IFERROR(__xludf.DUMMYFUNCTION("""COMPUTED_VALUE"""),8343)</f>
        <v>8343</v>
      </c>
      <c r="D210" s="6"/>
      <c r="E210" s="8"/>
    </row>
    <row r="211" spans="1:5" ht="89.25">
      <c r="A211" s="5" t="str">
        <f ca="1">IFERROR(__xludf.DUMMYFUNCTION("""COMPUTED_VALUE"""),"Стойка для считывателя Аякс 300х400 мм, оранжевая, Лайт, наклонная")</f>
        <v>Стойка для считывателя Аякс 300х400 мм, оранжевая, Лайт, наклонная</v>
      </c>
      <c r="B211"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оранжевый по шкале RAL 2008</v>
      </c>
      <c r="C211" s="9">
        <f ca="1">IFERROR(__xludf.DUMMYFUNCTION("""COMPUTED_VALUE"""),7875)</f>
        <v>7875</v>
      </c>
      <c r="D211" s="6"/>
      <c r="E211" s="8"/>
    </row>
    <row r="212" spans="1:5" ht="114.75">
      <c r="A212" s="5" t="str">
        <f ca="1">IFERROR(__xludf.DUMMYFUNCTION("""COMPUTED_VALUE"""),"Стойка для считывателя Аякс 300х400 мм, черная, Базовая, наклонная")</f>
        <v>Стойка для считывателя Аякс 300х400 мм, черная, Базовая, наклонная</v>
      </c>
      <c r="B212"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оци"&amp;"нкованного крепежа, цвет черный по шкале RAL 9005")</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12" s="9">
        <f ca="1">IFERROR(__xludf.DUMMYFUNCTION("""COMPUTED_VALUE"""),8343)</f>
        <v>8343</v>
      </c>
      <c r="D212" s="6"/>
      <c r="E212" s="8"/>
    </row>
    <row r="213" spans="1:5" ht="89.25">
      <c r="A213" s="5" t="str">
        <f ca="1">IFERROR(__xludf.DUMMYFUNCTION("""COMPUTED_VALUE"""),"Стойка для считывателя Аякс 300х400 мм, черная, Лайт, наклонная")</f>
        <v>Стойка для считывателя Аякс 300х400 мм, черная, Лайт, наклонная</v>
      </c>
      <c r="B213"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черный по шкале RAL 9005</v>
      </c>
      <c r="C213" s="9">
        <f ca="1">IFERROR(__xludf.DUMMYFUNCTION("""COMPUTED_VALUE"""),7875)</f>
        <v>7875</v>
      </c>
      <c r="D213" s="6"/>
      <c r="E213" s="8"/>
    </row>
    <row r="214" spans="1:5" ht="114.75">
      <c r="A214" s="5" t="str">
        <f ca="1">IFERROR(__xludf.DUMMYFUNCTION("""COMPUTED_VALUE"""),"Стойка для считывателя Аякс 300х400 мм, оранжевая, Базовая, прямая")</f>
        <v>Стойка для считывателя Аякс 300х400 мм, оранжевая, Базовая, прямая</v>
      </c>
      <c r="B214" s="6" t="str">
        <f ca="1">IFERROR(__xludf.DUMMYFUNCTION("""COMPUTED_VALUE"""),"Прямая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креп"&amp;"ежа, цвет оранжевый по шкале RAL 2008")</f>
        <v>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14" s="9">
        <f ca="1">IFERROR(__xludf.DUMMYFUNCTION("""COMPUTED_VALUE"""),8034)</f>
        <v>8034</v>
      </c>
      <c r="D214" s="6"/>
      <c r="E214" s="8"/>
    </row>
    <row r="215" spans="1:5" ht="114.75">
      <c r="A215" s="5" t="str">
        <f ca="1">IFERROR(__xludf.DUMMYFUNCTION("""COMPUTED_VALUE"""),"Стойка для считывателя Аякс 300х400 мм, черная, Базовая, прямая")</f>
        <v>Стойка для считывателя Аякс 300х400 мм, черная, Базовая, прямая</v>
      </c>
      <c r="B215" s="6" t="str">
        <f ca="1">IFERROR(__xludf.DUMMYFUNCTION("""COMPUTED_VALUE"""),"Прямая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креп"&amp;"ежа, цвет черный по шкале RAL 9005")</f>
        <v>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15" s="9">
        <f ca="1">IFERROR(__xludf.DUMMYFUNCTION("""COMPUTED_VALUE"""),8034)</f>
        <v>8034</v>
      </c>
      <c r="D215" s="6"/>
      <c r="E215" s="8"/>
    </row>
    <row r="216" spans="1:5" ht="102">
      <c r="A216" s="5" t="str">
        <f ca="1">IFERROR(__xludf.DUMMYFUNCTION("""COMPUTED_VALUE"""),"Стойка для считывателя Аякс 150х150 мм, Базовая, наклонная, Труба 60х60")</f>
        <v>Стойка для считывателя Аякс 150х150 мм, Базовая, наклонная, Труба 60х60</v>
      </c>
      <c r="B216" s="6" t="str">
        <f ca="1">IFERROR(__xludf.DUMMYFUNCTION("""COMPUTED_VALUE"""),"Наклонная стойка (150 град.) для установки считывающих устройств СКУД, высота 1270 мм, труба 60х60 мм, защитный кожух 150х150мм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v>
      </c>
      <c r="C216" s="9">
        <f ca="1">IFERROR(__xludf.DUMMYFUNCTION("""COMPUTED_VALUE"""),8991)</f>
        <v>8991</v>
      </c>
      <c r="D216" s="6"/>
      <c r="E216" s="8"/>
    </row>
    <row r="217" spans="1:5" ht="102">
      <c r="A217" s="5" t="str">
        <f ca="1">IFERROR(__xludf.DUMMYFUNCTION("""COMPUTED_VALUE"""),"Стойка для считывателя Аякс 170х180 мм, Базовая, наклонная, Труба 60х60")</f>
        <v>Стойка для считывателя Аякс 170х180 мм, Базовая, наклонная, Труба 60х60</v>
      </c>
      <c r="B217" s="6" t="str">
        <f ca="1">IFERROR(__xludf.DUMMYFUNCTION("""COMPUTED_VALUE"""),"Наклонная стойка (150 град.) для установки считывающих устройств СКУД, высота 1270 мм, труба 60х60 мм, защитный кожух 170х180мм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v>
      </c>
      <c r="C217" s="9">
        <f ca="1">IFERROR(__xludf.DUMMYFUNCTION("""COMPUTED_VALUE"""),8599.5)</f>
        <v>8599.5</v>
      </c>
      <c r="D217" s="6"/>
      <c r="E217" s="8"/>
    </row>
    <row r="218" spans="1:5" ht="102">
      <c r="A218" s="5" t="str">
        <f ca="1">IFERROR(__xludf.DUMMYFUNCTION("""COMPUTED_VALUE"""),"Стойка для считывателя Аякс 150х250 мм, Базовая, наклонная, Труба 60х60")</f>
        <v>Стойка для считывателя Аякс 150х250 мм, Базовая, наклонная, Труба 60х60</v>
      </c>
      <c r="B218" s="6" t="str">
        <f ca="1">IFERROR(__xludf.DUMMYFUNCTION("""COMPUTED_VALUE"""),"Наклонная стойка (150 град.) для установки считывающих устройств СКУД, высота 1270 мм, труба 60х60 мм, защитный кожух 150х250мм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150х250мм с диэлектрической пластиной, основание 180х180 мм, электрический клеммник, закладная пластина для бетонирования + комплект оцинкованного крепежа</v>
      </c>
      <c r="C218" s="9">
        <f ca="1">IFERROR(__xludf.DUMMYFUNCTION("""COMPUTED_VALUE"""),8991)</f>
        <v>8991</v>
      </c>
      <c r="D218" s="6"/>
      <c r="E218" s="8"/>
    </row>
    <row r="219" spans="1:5" ht="102">
      <c r="A219" s="5" t="str">
        <f ca="1">IFERROR(__xludf.DUMMYFUNCTION("""COMPUTED_VALUE"""),"Стойка для считывателя Аякс 300х400 мм, Базовая, наклонная, Труба 60х60")</f>
        <v>Стойка для считывателя Аякс 300х400 мм, Базовая, наклонная, Труба 60х60</v>
      </c>
      <c r="B219" s="6" t="str">
        <f ca="1">IFERROR(__xludf.DUMMYFUNCTION("""COMPUTED_VALUE"""),"Наклонная стойка (150 град.) для установки считывающих устройств СКУД, высота 1270 мм, труба 60х60 мм, защитный кожух 300х400мм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300х400мм с диэлектрической пластиной, основание 180х180 мм, электрический клеммник, закладная пластина для бетонирования + комплект оцинкованного крепежа</v>
      </c>
      <c r="C219" s="9">
        <f ca="1">IFERROR(__xludf.DUMMYFUNCTION("""COMPUTED_VALUE"""),8599.5)</f>
        <v>8599.5</v>
      </c>
      <c r="D219" s="6"/>
      <c r="E219" s="8"/>
    </row>
    <row r="220" spans="1:5" ht="76.5">
      <c r="A220" s="5" t="str">
        <f ca="1">IFERROR(__xludf.DUMMYFUNCTION("""COMPUTED_VALUE"""),"Стойка для считывателя Двухуровневая АЯКС 170х180, базовая, усиленная, Труба 60х60")</f>
        <v>Стойка для считывателя Двухуровневая АЯКС 170х180, базовая, усиленная, Труба 60х60</v>
      </c>
      <c r="B220" s="6" t="str">
        <f ca="1">IFERROR(__xludf.DUMMYFUNCTION("""COMPUTED_VALUE"""),"Высота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 Труба 60х60")</f>
        <v>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 Труба 60х60</v>
      </c>
      <c r="C220" s="9">
        <f ca="1">IFERROR(__xludf.DUMMYFUNCTION("""COMPUTED_VALUE"""),26070)</f>
        <v>26070</v>
      </c>
      <c r="D220" s="6"/>
      <c r="E220" s="8"/>
    </row>
    <row r="221" spans="1:5" ht="114.75">
      <c r="A221" s="5" t="str">
        <f ca="1">IFERROR(__xludf.DUMMYFUNCTION("""COMPUTED_VALUE"""),"Стойка для считывателя Аякс 150х150 мм, оранжевая, Базовая, двусторонняя")</f>
        <v>Стойка для считывателя Аякс 150х150 мм, оранжевая, Базовая, двусторонняя</v>
      </c>
      <c r="B221" s="6" t="str">
        <f ca="1">IFERROR(__xludf.DUMMYFUNCTION("""COMPUTED_VALUE"""),"Наклонная двусторонняя стойка (150 град.) для установки считывающих устройств СКУД, высота 1270 мм, труба 30х60 мм, защитный кожух 150х150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150х150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1" s="9">
        <f ca="1">IFERROR(__xludf.DUMMYFUNCTION("""COMPUTED_VALUE"""),8962.8)</f>
        <v>8962.7999999999993</v>
      </c>
      <c r="D221" s="6"/>
      <c r="E221" s="8"/>
    </row>
    <row r="222" spans="1:5" ht="114.75">
      <c r="A222" s="5" t="str">
        <f ca="1">IFERROR(__xludf.DUMMYFUNCTION("""COMPUTED_VALUE"""),"Стойка для считывателя Аякс 170х180 мм, оранжевая, Базовая, двусторонняя")</f>
        <v>Стойка для считывателя Аякс 170х180 мм, оранжевая, Базовая, двусторонняя</v>
      </c>
      <c r="B222" s="6" t="str">
        <f ca="1">IFERROR(__xludf.DUMMYFUNCTION("""COMPUTED_VALUE"""),"Наклонная двусторонняя стойка (150 град.) для установки считывающих устройств СКУД, высота 1270 мм, труба 30х60 мм, защитный кожух 170х180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170х180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2" s="9">
        <f ca="1">IFERROR(__xludf.DUMMYFUNCTION("""COMPUTED_VALUE"""),9424.8)</f>
        <v>9424.7999999999993</v>
      </c>
      <c r="D222" s="6"/>
      <c r="E222" s="8"/>
    </row>
    <row r="223" spans="1:5" ht="114.75">
      <c r="A223" s="5" t="str">
        <f ca="1">IFERROR(__xludf.DUMMYFUNCTION("""COMPUTED_VALUE"""),"Стойка для считывателя Аякс 150х250 мм, оранжевая, Базовая, двусторонняя")</f>
        <v>Стойка для считывателя Аякс 150х250 мм, оранжевая, Базовая, двусторонняя</v>
      </c>
      <c r="B223" s="6" t="str">
        <f ca="1">IFERROR(__xludf.DUMMYFUNCTION("""COMPUTED_VALUE"""),"Наклонная двусторонняя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3" s="9">
        <f ca="1">IFERROR(__xludf.DUMMYFUNCTION("""COMPUTED_VALUE"""),9886.8)</f>
        <v>9886.7999999999993</v>
      </c>
      <c r="D223" s="6"/>
      <c r="E223" s="8"/>
    </row>
    <row r="224" spans="1:5" ht="114.75">
      <c r="A224" s="5" t="str">
        <f ca="1">IFERROR(__xludf.DUMMYFUNCTION("""COMPUTED_VALUE"""),"Стойка для считывателя Аякс 300х400 мм, оранжевая, Базовая, двусторонняя")</f>
        <v>Стойка для считывателя Аякс 300х400 мм, оранжевая, Базовая, двусторонняя</v>
      </c>
      <c r="B224" s="6" t="str">
        <f ca="1">IFERROR(__xludf.DUMMYFUNCTION("""COMPUTED_VALUE"""),"Наклонная двусторонняя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4" s="9">
        <f ca="1">IFERROR(__xludf.DUMMYFUNCTION("""COMPUTED_VALUE"""),12474)</f>
        <v>12474</v>
      </c>
      <c r="D224" s="6"/>
      <c r="E224" s="8"/>
    </row>
    <row r="225" spans="1:5" ht="63.75">
      <c r="A225" s="5" t="str">
        <f ca="1">IFERROR(__xludf.DUMMYFUNCTION("""COMPUTED_VALUE"""),"Стойка для считывателя Двухуровневая АЯКС 170х180, базовая, усиленная")</f>
        <v>Стойка для считывателя Двухуровневая АЯКС 170х180, базовая, усиленная</v>
      </c>
      <c r="B225" s="6" t="str">
        <f ca="1">IFERROR(__xludf.DUMMYFUNCTION("""COMPUTED_VALUE"""),"Высота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f>
        <v>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v>
      </c>
      <c r="C225" s="9">
        <f ca="1">IFERROR(__xludf.DUMMYFUNCTION("""COMPUTED_VALUE"""),17380)</f>
        <v>17380</v>
      </c>
      <c r="D225" s="6"/>
      <c r="E225" s="8"/>
    </row>
    <row r="226" spans="1:5" ht="89.25">
      <c r="A226" s="5" t="str">
        <f ca="1">IFERROR(__xludf.DUMMYFUNCTION("""COMPUTED_VALUE"""),"Стойка для считывателя Аякс 150х150 мм, настенная, оранжевая")</f>
        <v>Стойка для считывателя Аякс 150х150 мм, настенная, оранжевая</v>
      </c>
      <c r="B226" s="6" t="str">
        <f ca="1">IFERROR(__xludf.DUMMYFUNCTION("""COMPUTED_VALUE"""),"Настенная стойка для установки считывающих устройств СКУД , вынос от стены - 40 см, труба 30х60 мм, защитный кожух 150х150мм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- 40 см, труба 30х60 мм, защитный кожух 150х150мм с диэлектрической пластиной, 4 усиливающие косынки, электрический клеммник, цвет оранжевый по шкале RAL 2008</v>
      </c>
      <c r="C226" s="9">
        <f ca="1">IFERROR(__xludf.DUMMYFUNCTION("""COMPUTED_VALUE"""),6055.5)</f>
        <v>6055.5</v>
      </c>
      <c r="D226" s="6"/>
      <c r="E226" s="8"/>
    </row>
    <row r="227" spans="1:5" ht="89.25">
      <c r="A227" s="5" t="str">
        <f ca="1">IFERROR(__xludf.DUMMYFUNCTION("""COMPUTED_VALUE"""),"Стойка для считывателя Аякс 150х150 мм, настенная , черная")</f>
        <v>Стойка для считывателя Аякс 150х150 мм, настенная , черная</v>
      </c>
      <c r="B227" s="6" t="str">
        <f ca="1">IFERROR(__xludf.DUMMYFUNCTION("""COMPUTED_VALUE"""),"Настенная стойка для установки считывающих устройств СКУД, вынос от стены - 30 см, труба 30х60 мм, защитный кожух 150х150мм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- 30 см, труба 30х60 мм, защитный кожух 150х150мм с диэлектрической пластиной, электрический клеммник, 4 усиливающие косынки, цвет черный по шкале RAL 9005</v>
      </c>
      <c r="C227" s="9">
        <f ca="1">IFERROR(__xludf.DUMMYFUNCTION("""COMPUTED_VALUE"""),6055.5)</f>
        <v>6055.5</v>
      </c>
      <c r="D227" s="6"/>
      <c r="E227" s="8"/>
    </row>
    <row r="228" spans="1:5" ht="89.25">
      <c r="A228" s="5" t="str">
        <f ca="1">IFERROR(__xludf.DUMMYFUNCTION("""COMPUTED_VALUE"""),"Стойка для считывателя Аякс 170х180 мм, настенная, оранжевая")</f>
        <v>Стойка для считывателя Аякс 170х180 мм, настенная, оранжевая</v>
      </c>
      <c r="B228" s="6" t="str">
        <f ca="1">IFERROR(__xludf.DUMMYFUNCTION("""COMPUTED_VALUE"""),"Настенная стойка для установки считывающих устройств СКУД , вынос от стены - 30 см, труба 30х60 мм, защитный кожух 170х180мм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- 30 см, труба 30х60 мм, защитный кожух 170х180мм с диэлектрической пластиной, 4 усиливающие косынки, электрический клеммник, цвет оранжевый по шкале RAL 2008</v>
      </c>
      <c r="C228" s="9">
        <f ca="1">IFERROR(__xludf.DUMMYFUNCTION("""COMPUTED_VALUE"""),6612)</f>
        <v>6612</v>
      </c>
      <c r="D228" s="6"/>
      <c r="E228" s="8"/>
    </row>
    <row r="229" spans="1:5" ht="89.25">
      <c r="A229" s="5" t="str">
        <f ca="1">IFERROR(__xludf.DUMMYFUNCTION("""COMPUTED_VALUE"""),"Стойка для считывателя Аякс 170х180 мм, настенная , черная")</f>
        <v>Стойка для считывателя Аякс 170х180 мм, настенная , черная</v>
      </c>
      <c r="B229" s="6" t="str">
        <f ca="1">IFERROR(__xludf.DUMMYFUNCTION("""COMPUTED_VALUE"""),"Настенная стойка для установки считывающих устройств СКУД, вынос от стены - 40 см, труба 30х60 мм, защитный кожух 170х180мм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- 40 см, труба 30х60 мм, защитный кожух 170х180мм с диэлектрической пластиной, электрический клеммник, 4 усиливающие косынки, цвет черный по шкале RAL 9005</v>
      </c>
      <c r="C229" s="9">
        <f ca="1">IFERROR(__xludf.DUMMYFUNCTION("""COMPUTED_VALUE"""),6363)</f>
        <v>6363</v>
      </c>
      <c r="D229" s="6"/>
      <c r="E229" s="8"/>
    </row>
    <row r="230" spans="1:5" ht="89.25">
      <c r="A230" s="5" t="str">
        <f ca="1">IFERROR(__xludf.DUMMYFUNCTION("""COMPUTED_VALUE"""),"Стойка для считывателя Аякс 150х250 мм, настенная, оранжевая")</f>
        <v>Стойка для считывателя Аякс 150х250 мм, настенная, оранжевая</v>
      </c>
      <c r="B230" s="6" t="str">
        <f ca="1">IFERROR(__xludf.DUMMYFUNCTION("""COMPUTED_VALUE"""),"Настенная стойка для установки считывающих устройств СКУД , вынос от стены - 40 см, труба 30х60 мм, защитный кожух 150х250мм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- 40 см, труба 30х60 мм, защитный кожух 150х250мм с диэлектрической пластиной, 4 усиливающие косынки, электрический клеммник, цвет оранжевый по шкале RAL 2008</v>
      </c>
      <c r="C230" s="9">
        <f ca="1">IFERROR(__xludf.DUMMYFUNCTION("""COMPUTED_VALUE"""),6612)</f>
        <v>6612</v>
      </c>
      <c r="D230" s="6"/>
      <c r="E230" s="8"/>
    </row>
    <row r="231" spans="1:5" ht="89.25">
      <c r="A231" s="5" t="str">
        <f ca="1">IFERROR(__xludf.DUMMYFUNCTION("""COMPUTED_VALUE"""),"Стойка для считывателя Аякс 150х250 мм, настенная , черная")</f>
        <v>Стойка для считывателя Аякс 150х250 мм, настенная , черная</v>
      </c>
      <c r="B231" s="6" t="str">
        <f ca="1">IFERROR(__xludf.DUMMYFUNCTION("""COMPUTED_VALUE"""),"Настенная стойка для установки считывающих устройств СКУД, вынос от стены - 30 см, труба 30х60 мм, защитный кожух 150х250мм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- 30 см, труба 30х60 мм, защитный кожух 150х250мм с диэлектрической пластиной, электрический клеммник, 4 усиливающие косынки, цвет черный по шкале RAL 9005</v>
      </c>
      <c r="C231" s="9">
        <f ca="1">IFERROR(__xludf.DUMMYFUNCTION("""COMPUTED_VALUE"""),6363)</f>
        <v>6363</v>
      </c>
      <c r="D231" s="6"/>
      <c r="E231" s="8"/>
    </row>
    <row r="232" spans="1:5" ht="89.25">
      <c r="A232" s="5" t="str">
        <f ca="1">IFERROR(__xludf.DUMMYFUNCTION("""COMPUTED_VALUE"""),"Стойка для считывателя Аякс 300х400 мм, настенная, оранжевая")</f>
        <v>Стойка для считывателя Аякс 300х400 мм, настенная, оранжевая</v>
      </c>
      <c r="B232" s="6" t="str">
        <f ca="1">IFERROR(__xludf.DUMMYFUNCTION("""COMPUTED_VALUE"""),"Настенная стойка для установки считывающих устройств СКУД , вынос от стены - 30 см, труба 30х60 мм, защитный кожух 300х400мм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- 30 см, труба 30х60 мм, защитный кожух 300х400мм с диэлектрической пластиной, 4 усиливающие косынки, электрический клеммник, цвет оранжевый по шкале RAL 2008</v>
      </c>
      <c r="C232" s="9">
        <f ca="1">IFERROR(__xludf.DUMMYFUNCTION("""COMPUTED_VALUE"""),6457.5)</f>
        <v>6457.5</v>
      </c>
      <c r="D232" s="6"/>
      <c r="E232" s="8"/>
    </row>
    <row r="233" spans="1:5" ht="89.25">
      <c r="A233" s="5" t="str">
        <f ca="1">IFERROR(__xludf.DUMMYFUNCTION("""COMPUTED_VALUE"""),"Стойка для считывателя Аякс 300х400 мм, настенная , черная")</f>
        <v>Стойка для считывателя Аякс 300х400 мм, настенная , черная</v>
      </c>
      <c r="B233" s="6" t="str">
        <f ca="1">IFERROR(__xludf.DUMMYFUNCTION("""COMPUTED_VALUE"""),"Настенная стойка для установки считывающих устройств СКУД, вынос от стены - 30 см, труба 30х60 мм, защитный кожух 300х400мм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- 30 см, труба 30х60 мм, защитный кожух 300х400мм с диэлектрической пластиной, электрический клеммник, 4 усиливающие косынки, цвет черный по шкале RAL 9005</v>
      </c>
      <c r="C233" s="9">
        <f ca="1">IFERROR(__xludf.DUMMYFUNCTION("""COMPUTED_VALUE"""),6457.5)</f>
        <v>6457.5</v>
      </c>
      <c r="D233" s="6"/>
      <c r="E233" s="8"/>
    </row>
    <row r="234" spans="1:5" ht="63.75">
      <c r="A234" s="5" t="str">
        <f ca="1">IFERROR(__xludf.DUMMYFUNCTION("""COMPUTED_VALUE"""),"Кожух защитный от стойки для считывателя Аякс 150х150 мм, оранжевый")</f>
        <v>Кожух защитный от стойки для считывателя Аякс 150х150 мм, оранжевый</v>
      </c>
      <c r="B234" s="6" t="str">
        <f ca="1">IFERROR(__xludf.DUMMYFUNCTION("""COMPUTED_VALUE"""),"Кожух защтный для установки считывающих устройств СКУД, 150х150 мм с диэлектрической пластиной, электрический клеммник, цвет оранжевый по шкале RAL 2008")</f>
        <v>Кожух защтный для установки считывающих устройств СКУД, 150х150 мм с диэлектрической пластиной, электрический клеммник, цвет оранжевый по шкале RAL 2008</v>
      </c>
      <c r="C234" s="6">
        <f ca="1">IFERROR(__xludf.DUMMYFUNCTION("""COMPUTED_VALUE"""),2310)</f>
        <v>2310</v>
      </c>
      <c r="D234" s="6"/>
      <c r="E234" s="8"/>
    </row>
    <row r="235" spans="1:5" ht="63.75">
      <c r="A235" s="5" t="str">
        <f ca="1">IFERROR(__xludf.DUMMYFUNCTION("""COMPUTED_VALUE"""),"Кожух защитный от стойки для считывателя Аякс 150х150 мм, черный")</f>
        <v>Кожух защитный от стойки для считывателя Аякс 150х150 мм, черный</v>
      </c>
      <c r="B235" s="6" t="str">
        <f ca="1">IFERROR(__xludf.DUMMYFUNCTION("""COMPUTED_VALUE"""),"Кожух защтный для установки считывающих устройств СКУД, 150х150 мм с диэлектрической пластиной, электрический клеммник, цвет черный по шкале RAL 9005")</f>
        <v>Кожух защтный для установки считывающих устройств СКУД, 150х150 мм с диэлектрической пластиной, электрический клеммник, цвет черный по шкале RAL 9005</v>
      </c>
      <c r="C235" s="6">
        <f ca="1">IFERROR(__xludf.DUMMYFUNCTION("""COMPUTED_VALUE"""),2310)</f>
        <v>2310</v>
      </c>
      <c r="D235" s="6"/>
      <c r="E235" s="8"/>
    </row>
    <row r="236" spans="1:5" ht="63.75">
      <c r="A236" s="5" t="str">
        <f ca="1">IFERROR(__xludf.DUMMYFUNCTION("""COMPUTED_VALUE"""),"Кожух защитный от стойки для считывателя Аякс 170х180 мм, оранжевый")</f>
        <v>Кожух защитный от стойки для считывателя Аякс 170х180 мм, оранжевый</v>
      </c>
      <c r="B236" s="6" t="str">
        <f ca="1">IFERROR(__xludf.DUMMYFUNCTION("""COMPUTED_VALUE"""),"Кожух защтный для установки считывающих устройств СКУД, 170х180 мм с диэлектрической пластиной, электрический клеммник, цвет оранжевый по шкале RAL 2008")</f>
        <v>Кожух защтный для установки считывающих устройств СКУД, 170х180 мм с диэлектрической пластиной, электрический клеммник, цвет оранжевый по шкале RAL 2008</v>
      </c>
      <c r="C236" s="6">
        <f ca="1">IFERROR(__xludf.DUMMYFUNCTION("""COMPUTED_VALUE"""),2541)</f>
        <v>2541</v>
      </c>
      <c r="D236" s="6"/>
      <c r="E236" s="8"/>
    </row>
    <row r="237" spans="1:5" ht="63.75">
      <c r="A237" s="5" t="str">
        <f ca="1">IFERROR(__xludf.DUMMYFUNCTION("""COMPUTED_VALUE"""),"Кожух защитный от стойки для считывателя Аякс 170х180 мм, черный")</f>
        <v>Кожух защитный от стойки для считывателя Аякс 170х180 мм, черный</v>
      </c>
      <c r="B237" s="6" t="str">
        <f ca="1">IFERROR(__xludf.DUMMYFUNCTION("""COMPUTED_VALUE"""),"Кожух защтный для установки считывающих устройств СКУД, 170х180 мм с диэлектрической пластиной, электрический клеммник, цвет черный по шкале RAL 9005")</f>
        <v>Кожух защтный для установки считывающих устройств СКУД, 170х180 мм с диэлектрической пластиной, электрический клеммник, цвет черный по шкале RAL 9005</v>
      </c>
      <c r="C237" s="6">
        <f ca="1">IFERROR(__xludf.DUMMYFUNCTION("""COMPUTED_VALUE"""),2541)</f>
        <v>2541</v>
      </c>
      <c r="D237" s="6"/>
      <c r="E237" s="8"/>
    </row>
    <row r="238" spans="1:5" ht="63.75">
      <c r="A238" s="5" t="str">
        <f ca="1">IFERROR(__xludf.DUMMYFUNCTION("""COMPUTED_VALUE"""),"Кожух защитный от стойки для считывателя Аякс 150х250 мм, оранжевый")</f>
        <v>Кожух защитный от стойки для считывателя Аякс 150х250 мм, оранжевый</v>
      </c>
      <c r="B238" s="6" t="str">
        <f ca="1">IFERROR(__xludf.DUMMYFUNCTION("""COMPUTED_VALUE"""),"Кожух защтный для установки считывающих устройств СКУД, 150х250 мм с диэлектрической пластиной, электрический клеммник, цвет оранжевый по шкале RAL 2008")</f>
        <v>Кожух защтный для установки считывающих устройств СКУД, 150х250 мм с диэлектрической пластиной, электрический клеммник, цвет оранжевый по шкале RAL 2008</v>
      </c>
      <c r="C238" s="6">
        <f ca="1">IFERROR(__xludf.DUMMYFUNCTION("""COMPUTED_VALUE"""),2772)</f>
        <v>2772</v>
      </c>
      <c r="D238" s="6"/>
      <c r="E238" s="8"/>
    </row>
    <row r="239" spans="1:5" ht="63.75">
      <c r="A239" s="5" t="str">
        <f ca="1">IFERROR(__xludf.DUMMYFUNCTION("""COMPUTED_VALUE"""),"Кожух защитный от стойки для считывателя Аякс 150х250 мм, черный")</f>
        <v>Кожух защитный от стойки для считывателя Аякс 150х250 мм, черный</v>
      </c>
      <c r="B239" s="6" t="str">
        <f ca="1">IFERROR(__xludf.DUMMYFUNCTION("""COMPUTED_VALUE"""),"Кожух защтный для установки считывающих устройств СКУД, 150х250 мм с диэлектрической пластиной, электрический клеммник, цвет черный по шкале RAL 9005")</f>
        <v>Кожух защтный для установки считывающих устройств СКУД, 150х250 мм с диэлектрической пластиной, электрический клеммник, цвет черный по шкале RAL 9005</v>
      </c>
      <c r="C239" s="6">
        <f ca="1">IFERROR(__xludf.DUMMYFUNCTION("""COMPUTED_VALUE"""),2772)</f>
        <v>2772</v>
      </c>
      <c r="D239" s="6"/>
      <c r="E239" s="8"/>
    </row>
    <row r="240" spans="1:5" ht="63.75">
      <c r="A240" s="5" t="str">
        <f ca="1">IFERROR(__xludf.DUMMYFUNCTION("""COMPUTED_VALUE"""),"Кожух защитный от стойки для считывателя Аякс 300х400 мм, оранжевый")</f>
        <v>Кожух защитный от стойки для считывателя Аякс 300х400 мм, оранжевый</v>
      </c>
      <c r="B240" s="6" t="str">
        <f ca="1">IFERROR(__xludf.DUMMYFUNCTION("""COMPUTED_VALUE"""),"Кожух защтный для установки считывающих устройств СКУД, 150х250 мм с диэлектрической пластиной, электрический клеммник, цвет оранжевый по шкале RAL 2008")</f>
        <v>Кожух защтный для установки считывающих устройств СКУД, 150х250 мм с диэлектрической пластиной, электрический клеммник, цвет оранжевый по шкале RAL 2008</v>
      </c>
      <c r="C240" s="6">
        <f ca="1">IFERROR(__xludf.DUMMYFUNCTION("""COMPUTED_VALUE"""),3234)</f>
        <v>3234</v>
      </c>
      <c r="D240" s="6"/>
      <c r="E240" s="8"/>
    </row>
    <row r="241" spans="1:5" ht="63.75">
      <c r="A241" s="5" t="str">
        <f ca="1">IFERROR(__xludf.DUMMYFUNCTION("""COMPUTED_VALUE"""),"Кожух защитный от стойки для считывателя Аякс 300х400 мм, черный")</f>
        <v>Кожух защитный от стойки для считывателя Аякс 300х400 мм, черный</v>
      </c>
      <c r="B241" s="6" t="str">
        <f ca="1">IFERROR(__xludf.DUMMYFUNCTION("""COMPUTED_VALUE"""),"Кожух защтный для установки считывающих устройств СКУД, 150х250 мм с диэлектрической пластиной, электрический клеммник, цвет черный по шкале RAL 9005")</f>
        <v>Кожух защтный для установки считывающих устройств СКУД, 150х250 мм с диэлектрической пластиной, электрический клеммник, цвет черный по шкале RAL 9005</v>
      </c>
      <c r="C241" s="6">
        <f ca="1">IFERROR(__xludf.DUMMYFUNCTION("""COMPUTED_VALUE"""),3234)</f>
        <v>3234</v>
      </c>
      <c r="D241" s="6"/>
      <c r="E241" s="8"/>
    </row>
    <row r="242" spans="1:5" ht="51">
      <c r="A242" s="5" t="str">
        <f ca="1">IFERROR(__xludf.DUMMYFUNCTION("""COMPUTED_VALUE"""),"ЗСК-535 «Алабай» Защитный сетчатый кожух  (для ИП 535-26-A «СЕВЕР», ИП 535-50 «СЕВЕР», ИП 535-26/В-A «СЕВЕР», ИП 535-50/Ex-A «СЕВЕР»)")</f>
        <v>ЗСК-535 «Алабай» Защитный сетчатый кожух  (для ИП 535-26-A «СЕВЕР», ИП 535-50 «СЕВЕР», ИП 535-26/В-A «СЕВЕР», ИП 535-50/Ex-A «СЕВЕР»)</v>
      </c>
      <c r="B242" s="6" t="str">
        <f ca="1">IFERROR(__xludf.DUMMYFUNCTION("""COMPUTED_VALUE"""),"Материал сетки - сталь. Диаметр 6 мм. Размеры: 160х160х90 мм. Цвет красный (По требованию заказчика возможна покраска в другой цвет).")</f>
        <v>Материал сетки - сталь. Диаметр 6 мм. Размеры: 160х160х90 мм. Цвет красный (По требованию заказчика возможна покраска в другой цвет).</v>
      </c>
      <c r="C242" s="9">
        <f ca="1">IFERROR(__xludf.DUMMYFUNCTION("""COMPUTED_VALUE"""),1848)</f>
        <v>1848</v>
      </c>
      <c r="D242" s="6"/>
      <c r="E242" s="8"/>
    </row>
    <row r="243" spans="1:5" ht="51">
      <c r="A243" s="5" t="str">
        <f ca="1">IFERROR(__xludf.DUMMYFUNCTION("""COMPUTED_VALUE"""),"ЗСК-212 «Алабай» Защитный сетчатый кожух (для ДИП, ИП)")</f>
        <v>ЗСК-212 «Алабай» Защитный сетчатый кожух (для ДИП, ИП)</v>
      </c>
      <c r="B243" s="6" t="str">
        <f ca="1">IFERROR(__xludf.DUMMYFUNCTION("""COMPUTED_VALUE"""),"Материал сетки - сталь. Диаметр 6 мм. Размеры: 158х130х78 мм. Цвет белый (По требованию заказчика возможна покраска в другой цвет).")</f>
        <v>Материал сетки - сталь. Диаметр 6 мм. Размеры: 158х130х78 мм. Цвет белый (По требованию заказчика возможна покраска в другой цвет).</v>
      </c>
      <c r="C243" s="9">
        <f ca="1">IFERROR(__xludf.DUMMYFUNCTION("""COMPUTED_VALUE"""),1265)</f>
        <v>1265</v>
      </c>
      <c r="D243" s="6"/>
      <c r="E243" s="8"/>
    </row>
    <row r="244" spans="1:5" ht="51">
      <c r="A244" s="5" t="str">
        <f ca="1">IFERROR(__xludf.DUMMYFUNCTION("""COMPUTED_VALUE"""),"Защитный Сетчатый Кожух ЗСК-Табло «Алабай»")</f>
        <v>Защитный Сетчатый Кожух ЗСК-Табло «Алабай»</v>
      </c>
      <c r="B244" s="6" t="str">
        <f ca="1">IFERROR(__xludf.DUMMYFUNCTION("""COMPUTED_VALUE"""),"Материал сетки - сталь. Диаметр 6 мм. Размеры: 350x170x40 мм. Цвет белый (По требованию заказчика возможна покраска в другой цвет).")</f>
        <v>Материал сетки - сталь. Диаметр 6 мм. Размеры: 350x170x40 мм. Цвет белый (По требованию заказчика возможна покраска в другой цвет).</v>
      </c>
      <c r="C244" s="9">
        <f ca="1">IFERROR(__xludf.DUMMYFUNCTION("""COMPUTED_VALUE"""),1056)</f>
        <v>1056</v>
      </c>
      <c r="D244" s="6"/>
      <c r="E244" s="8"/>
    </row>
    <row r="245" spans="1:5" ht="51">
      <c r="A245" s="5" t="str">
        <f ca="1">IFERROR(__xludf.DUMMYFUNCTION("""COMPUTED_VALUE"""),"Защитный Сетчатый Кожух ЗСК-Громкоговоритель «Алабай»")</f>
        <v>Защитный Сетчатый Кожух ЗСК-Громкоговоритель «Алабай»</v>
      </c>
      <c r="B245" s="6" t="str">
        <f ca="1">IFERROR(__xludf.DUMMYFUNCTION("""COMPUTED_VALUE"""),"Материал сетки - сталь. Диаметр 6 мм. Размеры: 275x390x135 мм. Цвет белый (По требованию заказчика возможна покраска в другой цвет).")</f>
        <v>Материал сетки - сталь. Диаметр 6 мм. Размеры: 275x390x135 мм. Цвет белый (По требованию заказчика возможна покраска в другой цвет).</v>
      </c>
      <c r="C245" s="9">
        <f ca="1">IFERROR(__xludf.DUMMYFUNCTION("""COMPUTED_VALUE"""),3200)</f>
        <v>3200</v>
      </c>
      <c r="D245" s="6"/>
      <c r="E245" s="8"/>
    </row>
    <row r="246" spans="1:5" ht="102">
      <c r="A246" s="5" t="str">
        <f ca="1">IFERROR(__xludf.DUMMYFUNCTION("""COMPUTED_VALUE"""),"Розетка внешнего запуска МОРОЗ автотранспортная аккумуляторная А5.50.097А 
АТФЕ.642616.173ТУ")</f>
        <v>Розетка внешнего запуска МОРОЗ автотранспортная аккумуляторная А5.50.097А 
АТФЕ.642616.173ТУ</v>
      </c>
      <c r="B246" s="6" t="str">
        <f ca="1">IFERROR(__xludf.DUMMYFUNCTION("""COMPUTED_VALUE"""),"предназначена для подключения к бортовой сети автотранспортного средства внешних источников питания. Корпус розетки выполнен из ударопрочного полиамида. Конструкция розетки исключает возможность переполюсовки при подключении вилки. Напряжение 24В, Ток 600"&amp;"А, IP20")</f>
        <v>предназначена для подключения к бортовой сети автотранспортного средства внешних источников питания. Корпус розетки выполнен из ударопрочного полиамида. Конструкция розетки исключает возможность переполюсовки при подключении вилки. Напряжение 24В, Ток 600А, IP20</v>
      </c>
      <c r="C246" s="9">
        <f ca="1">IFERROR(__xludf.DUMMYFUNCTION("""COMPUTED_VALUE"""),4290)</f>
        <v>4290</v>
      </c>
      <c r="D246" s="6"/>
      <c r="E246" s="8"/>
    </row>
    <row r="247" spans="1:5" ht="114.75">
      <c r="A247" s="5" t="str">
        <f ca="1">IFERROR(__xludf.DUMMYFUNCTION("""COMPUTED_VALUE"""),"Комплект ножевых клемм «+» и «-» для розетки внешнего запуска автотранспортной аккумуляторной А5.50.097А АТФЕ.685162.177ТУ")</f>
        <v>Комплект ножевых клемм «+» и «-» для розетки внешнего запуска автотранспортной аккумуляторной А5.50.097А АТФЕ.685162.177ТУ</v>
      </c>
      <c r="B247" s="6" t="str">
        <f ca="1">IFERROR(__xludf.DUMMYFUNCTION("""COMPUTED_VALUE"""),"предназначены для подключения к автотранспортной розетке внешнего запуска А5.50.097А кабелей от внешних пусковых устройств. Ножевые клеммы выполнены из меди. Конструкция ножевых клемм исключает возможность переполюсовки при подключении питающих кабелей к "&amp;"розетке. Напряжение 24В, Ток 600А.")</f>
        <v>предназначены для подключения к автотранспортной розетке внешнего запуска А5.50.097А кабелей от внешних пусковых устройств. Ножевые клеммы выполнены из меди. Конструкция ножевых клемм исключает возможность переполюсовки при подключении питающих кабелей к розетке. Напряжение 24В, Ток 600А.</v>
      </c>
      <c r="C247" s="9">
        <f ca="1">IFERROR(__xludf.DUMMYFUNCTION("""COMPUTED_VALUE"""),2145)</f>
        <v>2145</v>
      </c>
      <c r="D247" s="6"/>
      <c r="E247" s="8"/>
    </row>
    <row r="248" spans="1:5" ht="38.25">
      <c r="A248" s="5" t="str">
        <f ca="1">IFERROR(__xludf.DUMMYFUNCTION("""COMPUTED_VALUE"""),"ДМГ-40 (NO, NC, NO+NC, 2NO, 1NO+1NC, NO+NC NO+NC, 2NC)           
АТФЕ.425119.184")</f>
        <v>ДМГ-40 (NO, NC, NO+NC, 2NO, 1NO+1NC, NO+NC NO+NC, 2NC)           
АТФЕ.425119.184</v>
      </c>
      <c r="B248" s="6" t="str">
        <f ca="1">IFERROR(__xludf.DUMMYFUNCTION("""COMPUTED_VALUE"""),"Корпус нерж., вывод кабеля 1м., от минус 60°С до плюс 70°С, IP66/IP68, Расстояние срабатывания 40мм")</f>
        <v>Корпус нерж., вывод кабеля 1м., от минус 60°С до плюс 70°С, IP66/IP68, Расстояние срабатывания 40мм</v>
      </c>
      <c r="C248" s="9">
        <f ca="1">IFERROR(__xludf.DUMMYFUNCTION("""COMPUTED_VALUE"""),18810)</f>
        <v>18810</v>
      </c>
      <c r="D248" s="6"/>
      <c r="E248" s="8"/>
    </row>
    <row r="249" spans="1:5" ht="38.25">
      <c r="A249" s="5" t="str">
        <f ca="1">IFERROR(__xludf.DUMMYFUNCTION("""COMPUTED_VALUE"""),"ДМГ-100 (NO, NC, NO+NC, 2NO, 1NO+1NC, NO+NC NO+NC, 2NC)           
АТФЕ.425119.184")</f>
        <v>ДМГ-100 (NO, NC, NO+NC, 2NO, 1NO+1NC, NO+NC NO+NC, 2NC)           
АТФЕ.425119.184</v>
      </c>
      <c r="B249" s="6" t="str">
        <f ca="1">IFERROR(__xludf.DUMMYFUNCTION("""COMPUTED_VALUE"""),"Корпус нерж., вывод кабеля 1м., от минус 60°С до плюс 70°С, IP66/IP68, Расстояние срабатывания 100мм")</f>
        <v>Корпус нерж., вывод кабеля 1м., от минус 60°С до плюс 70°С, IP66/IP68, Расстояние срабатывания 100мм</v>
      </c>
      <c r="C249" s="9">
        <f ca="1">IFERROR(__xludf.DUMMYFUNCTION("""COMPUTED_VALUE"""),20020)</f>
        <v>20020</v>
      </c>
      <c r="D249" s="6"/>
      <c r="E249" s="8"/>
    </row>
    <row r="250" spans="1:5" ht="38.25">
      <c r="A250" s="5" t="str">
        <f ca="1">IFERROR(__xludf.DUMMYFUNCTION("""COMPUTED_VALUE"""),"ДМГ-200 (NO, NC, NO+NC, 2NO, 1NO+1NC, NO+NC NO+NC, 2NC)           
АТФЕ.425119.184")</f>
        <v>ДМГ-200 (NO, NC, NO+NC, 2NO, 1NO+1NC, NO+NC NO+NC, 2NC)           
АТФЕ.425119.184</v>
      </c>
      <c r="B250" s="6" t="str">
        <f ca="1">IFERROR(__xludf.DUMMYFUNCTION("""COMPUTED_VALUE"""),"Корпус нерж., вывод кабеля 1м., от минус 60°С до плюс 70°С, IP66/IP68, Расстояние срабатывания 200мм")</f>
        <v>Корпус нерж., вывод кабеля 1м., от минус 60°С до плюс 70°С, IP66/IP68, Расстояние срабатывания 200мм</v>
      </c>
      <c r="C250" s="9">
        <f ca="1">IFERROR(__xludf.DUMMYFUNCTION("""COMPUTED_VALUE"""),21780)</f>
        <v>21780</v>
      </c>
      <c r="D250" s="6"/>
      <c r="E250" s="8"/>
    </row>
    <row r="251" spans="1:5" ht="127.5">
      <c r="A251" s="5" t="str">
        <f ca="1">IFERROR(__xludf.DUMMYFUNCTION("""COMPUTED_VALUE"""),"Ех-замок FM-26 180 12В К (без датчика положения)
  РВ Ex mb I Mb X и 1Ex mb IIC T5 Gb X и Ex mb IIIC T95°oC Db X 
 АТФЕ.425729.156 ТУ")</f>
        <v>Ех-замок FM-26 180 12В К (без датчика положения)
  РВ Ex mb I Mb X и 1Ex mb IIC T5 Gb X и Ex mb IIIC T95°oC Db X 
 АТФЕ.425729.156 ТУ</v>
      </c>
      <c r="B251" s="6" t="str">
        <f ca="1">IFERROR(__xludf.DUMMYFUNCTION("""COMPUTED_VALUE"""),"Сила удержания 180 кг, 12 В, 210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"&amp;"комплект крепления якоря. Рекомендуется использовать совместно с кнопкой Ех ВК200.")</f>
        <v>Сила удержания 180 кг, 12 В, 210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1" s="9">
        <f ca="1">IFERROR(__xludf.DUMMYFUNCTION("""COMPUTED_VALUE"""),32820)</f>
        <v>32820</v>
      </c>
      <c r="D251" s="6"/>
      <c r="E251" s="8"/>
    </row>
    <row r="252" spans="1:5" ht="127.5">
      <c r="A252" s="5" t="str">
        <f ca="1">IFERROR(__xludf.DUMMYFUNCTION("""COMPUTED_VALUE"""),"Ех-замок FM-26 180 12В В (без датчика положения)
  РВ Ex mb I Mb X и 1Ex mb IIC T5 Gb X и Ex mb IIIC T95°oC Db X 
 АТФЕ.425729.156 ТУ")</f>
        <v>Ех-замок FM-26 180 12В В (без датчика положения)
  РВ Ex mb I Mb X и 1Ex mb IIC T5 Gb X и Ex mb IIIC T95°oC Db X 
 АТФЕ.425729.156 ТУ</v>
      </c>
      <c r="B252" s="6" t="str">
        <f ca="1">IFERROR(__xludf.DUMMYFUNCTION("""COMPUTED_VALUE"""),"Сила удержания 180 кг, 12 В, 210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комплек"&amp;"т крепления якоря. Рекомендуется использовать совместно с кнопкой Ех ВК200.")</f>
        <v>Сила удержания 180 кг, 12 В, 210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2" s="9">
        <f ca="1">IFERROR(__xludf.DUMMYFUNCTION("""COMPUTED_VALUE"""),32820)</f>
        <v>32820</v>
      </c>
      <c r="D252" s="6"/>
      <c r="E252" s="8"/>
    </row>
    <row r="253" spans="1:5" ht="127.5">
      <c r="A253" s="5" t="str">
        <f ca="1">IFERROR(__xludf.DUMMYFUNCTION("""COMPUTED_VALUE"""),"Ех-замок FM-26 180 12В Т (без датчика положения)
  РВ Ex mb I Mb X и 1Ex mb IIC T5 Gb X и Ex mb IIIC T95°oC Db X 
 АТФЕ.425729.156 ТУ")</f>
        <v>Ех-замок FM-26 180 12В Т (без датчика положения)
  РВ Ex mb I Mb X и 1Ex mb IIC T5 Gb X и Ex mb IIIC T95°oC Db X 
 АТФЕ.425729.156 ТУ</v>
      </c>
      <c r="B253" s="6" t="str">
        <f ca="1">IFERROR(__xludf.DUMMYFUNCTION("""COMPUTED_VALUE"""),"Сила удержания 180 кг, 12 В, 210 мА, без датчика положения,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ко"&amp;"мплект крепления якоря. Рекомендуется использовать совместно с кнопкой Ех ВК200.")</f>
        <v>Сила удержания 180 кг, 12 В, 210 мА, без датчика положения,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3" s="9">
        <f ca="1">IFERROR(__xludf.DUMMYFUNCTION("""COMPUTED_VALUE"""),32820)</f>
        <v>32820</v>
      </c>
      <c r="D253" s="6"/>
      <c r="E253" s="8"/>
    </row>
    <row r="254" spans="1:5" ht="127.5">
      <c r="A254" s="5" t="str">
        <f ca="1">IFERROR(__xludf.DUMMYFUNCTION("""COMPUTED_VALUE"""),"Ех-замок FM-26 180 12В КМ8/КМ10/КМ12 (без датчика положения)
  РВ Ex mb I Mb X и 1Ex mb IIC T5 Gb X и Ex mb IIIC T95°oC Db X 
 АТФЕ.425729.156 ТУ")</f>
        <v>Ех-замок FM-26 180 12В КМ8/КМ10/КМ12 (без датчика положения)
  РВ Ex mb I Mb X и 1Ex mb IIC T5 Gb X и Ex mb IIIC T95°oC Db X 
 АТФЕ.425729.156 ТУ</v>
      </c>
      <c r="B254" s="6" t="str">
        <f ca="1">IFERROR(__xludf.DUMMYFUNCTION("""COMPUTED_VALUE"""),"Сила удержания 180 кг, 12 В, 210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яко"&amp;"ря, комплект крепления якоря. Рекомендуется использовать совместно с кнопкой Ех ВК200.")</f>
        <v>Сила удержания 180 кг, 12 В, 210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4" s="9">
        <f ca="1">IFERROR(__xludf.DUMMYFUNCTION("""COMPUTED_VALUE"""),32820)</f>
        <v>32820</v>
      </c>
      <c r="D254" s="6"/>
      <c r="E254" s="8"/>
    </row>
    <row r="255" spans="1:5" ht="127.5">
      <c r="A255" s="5" t="str">
        <f ca="1">IFERROR(__xludf.DUMMYFUNCTION("""COMPUTED_VALUE"""),"Ех-замок FM-26 180 12В К 
  РВ Ex mb I Mb X и 1Ex mb IIC T5 Gb X и Ex mb IIIC T95°oC Db X 
 АТФЕ.425729.156 ТУ")</f>
        <v>Ех-замок FM-26 180 12В К 
  РВ Ex mb I Mb X и 1Ex mb IIC T5 Gb X и Ex mb IIIC T95°oC Db X 
 АТФЕ.425729.156 ТУ</v>
      </c>
      <c r="B255" s="6" t="str">
        <f ca="1">IFERROR(__xludf.DUMMYFUNCTION("""COMPUTED_VALUE"""),"Сила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5" s="9">
        <f ca="1">IFERROR(__xludf.DUMMYFUNCTION("""COMPUTED_VALUE"""),33960)</f>
        <v>33960</v>
      </c>
      <c r="D255" s="6"/>
      <c r="E255" s="8"/>
    </row>
    <row r="256" spans="1:5" ht="127.5">
      <c r="A256" s="5" t="str">
        <f ca="1">IFERROR(__xludf.DUMMYFUNCTION("""COMPUTED_VALUE"""),"Ех-замок FM-26 180 12В В
  РВ Ex mb I Mb X и 1Ex mb IIC T5 Gb X и Ex mb IIIC T95°oC Db X 
 АТФЕ.425729.156 ТУ")</f>
        <v>Ех-замок FM-26 180 12В В
  РВ Ex mb I Mb X и 1Ex mb IIC T5 Gb X и Ex mb IIIC T95°oC Db X 
 АТФЕ.425729.156 ТУ</v>
      </c>
      <c r="B256" s="6" t="str">
        <f ca="1">IFERROR(__xludf.DUMMYFUNCTION("""COMPUTED_VALUE"""),"Сила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6" s="9">
        <f ca="1">IFERROR(__xludf.DUMMYFUNCTION("""COMPUTED_VALUE"""),33960)</f>
        <v>33960</v>
      </c>
      <c r="D256" s="6"/>
      <c r="E256" s="8"/>
    </row>
    <row r="257" spans="1:5" ht="127.5">
      <c r="A257" s="5" t="str">
        <f ca="1">IFERROR(__xludf.DUMMYFUNCTION("""COMPUTED_VALUE"""),"Ех-замок FM-26 180 12В Т 
  РВ Ex mb I Mb X и 1Ex mb IIC T5 Gb X и Ex mb IIIC T95°oC Db X 
 АТФЕ.425729.156 ТУ")</f>
        <v>Ех-замок FM-26 180 12В Т 
  РВ Ex mb I Mb X и 1Ex mb IIC T5 Gb X и Ex mb IIIC T95°oC Db X 
 АТФЕ.425729.156 ТУ</v>
      </c>
      <c r="B257" s="6" t="str">
        <f ca="1">IFERROR(__xludf.DUMMYFUNCTION("""COMPUTED_VALUE"""),"Сила удержания 180 кг, с герконовым датчиком положения, 12 В, 210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крепления"&amp;"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7" s="9">
        <f ca="1">IFERROR(__xludf.DUMMYFUNCTION("""COMPUTED_VALUE"""),33960)</f>
        <v>33960</v>
      </c>
      <c r="D257" s="6"/>
      <c r="E257" s="8"/>
    </row>
    <row r="258" spans="1:5" ht="127.5">
      <c r="A258" s="5" t="str">
        <f ca="1">IFERROR(__xludf.DUMMYFUNCTION("""COMPUTED_VALUE"""),"Ех-замок FM-26 180 12В КМ8/КМ10/КМ12
  РВ Ex mb I Mb X и 1Ex mb IIC T5 Gb X и Ex mb IIIC T95°oC Db X 
 АТФЕ.425729.156 ТУ")</f>
        <v>Ех-замок FM-26 180 12В КМ8/КМ10/КМ12
  РВ Ex mb I Mb X и 1Ex mb IIC T5 Gb X и Ex mb IIIC T95°oC Db X 
 АТФЕ.425729.156 ТУ</v>
      </c>
      <c r="B258" s="6" t="str">
        <f ca="1">IFERROR(__xludf.DUMMYFUNCTION("""COMPUTED_VALUE"""),"Сила удержания 180 кг, с герконовым датчиком положения, 12 В, 210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кре"&amp;"пления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8" s="9">
        <f ca="1">IFERROR(__xludf.DUMMYFUNCTION("""COMPUTED_VALUE"""),33960)</f>
        <v>33960</v>
      </c>
      <c r="D258" s="6"/>
      <c r="E258" s="8"/>
    </row>
    <row r="259" spans="1:5" ht="127.5">
      <c r="A259" s="5" t="str">
        <f ca="1">IFERROR(__xludf.DUMMYFUNCTION("""COMPUTED_VALUE"""),"Ех-замок FM-26 180 24В К (без датчика положения)
  РВ Ex mb I Mb X и 1Ex mb IIC T5 Gb X и Ex mb IIIC T95°oC Db X 
 АТФЕ.425729.156 ТУ")</f>
        <v>Ех-замок FM-26 180 24В К (без датчика положения)
  РВ Ex mb I Mb X и 1Ex mb IIC T5 Gb X и Ex mb IIIC T95°oC Db X 
 АТФЕ.425729.156 ТУ</v>
      </c>
      <c r="B259" s="6" t="str">
        <f ca="1">IFERROR(__xludf.DUMMYFUNCTION("""COMPUTED_VALUE"""),"Сила удержания 180 кг, 24 В, 120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"&amp;"комплект крепления якоря. Рекомендуется использовать совместно с кнопкой Ех ВК200.")</f>
        <v>Сила удержания 180 кг, 24 В, 120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9" s="9">
        <f ca="1">IFERROR(__xludf.DUMMYFUNCTION("""COMPUTED_VALUE"""),32820)</f>
        <v>32820</v>
      </c>
      <c r="D259" s="6"/>
      <c r="E259" s="8"/>
    </row>
    <row r="260" spans="1:5" ht="127.5">
      <c r="A260" s="5" t="str">
        <f ca="1">IFERROR(__xludf.DUMMYFUNCTION("""COMPUTED_VALUE"""),"Ех-замок FM-26 180 24В В (без датчика положения)
  РВ Ex mb I Mb X и 1Ex mb IIC T5 Gb X и Ex mb IIIC T95°oC Db X 
 АТФЕ.425729.156 ТУ")</f>
        <v>Ех-замок FM-26 180 24В В (без датчика положения)
  РВ Ex mb I Mb X и 1Ex mb IIC T5 Gb X и Ex mb IIIC T95°oC Db X 
 АТФЕ.425729.156 ТУ</v>
      </c>
      <c r="B260" s="6" t="str">
        <f ca="1">IFERROR(__xludf.DUMMYFUNCTION("""COMPUTED_VALUE"""),"Сила удержания 180 кг, 24 В, 120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комплек"&amp;"т крепления якоря. Рекомендуется использовать совместно с кнопкой Ех ВК200.")</f>
        <v>Сила удержания 180 кг, 24 В, 120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0" s="9">
        <f ca="1">IFERROR(__xludf.DUMMYFUNCTION("""COMPUTED_VALUE"""),32820)</f>
        <v>32820</v>
      </c>
      <c r="D260" s="6"/>
      <c r="E260" s="8"/>
    </row>
    <row r="261" spans="1:5" ht="114.75">
      <c r="A261" s="5" t="str">
        <f ca="1">IFERROR(__xludf.DUMMYFUNCTION("""COMPUTED_VALUE"""),"Ех-замок FM-26 180 24В Т (без датчика положения)
  РВ Ex mb I Mb X и 1Ex mb IIC T5 Gb X и Ex mb IIIC T95°oC Db X 
 АТФЕ.425729.156 ТУ")</f>
        <v>Ех-замок FM-26 180 24В Т (без датчика положения)
  РВ Ex mb I Mb X и 1Ex mb IIC T5 Gb X и Ex mb IIIC T95°oC Db X 
 АТФЕ.425729.156 ТУ</v>
      </c>
      <c r="B261" s="6" t="str">
        <f ca="1">IFERROR(__xludf.DUMMYFUNCTION("""COMPUTED_VALUE"""),"Сила удержания 180 кг,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якоря."&amp;" Рекомендуется использовать совместно с кнопкой Ех ВК200.")</f>
        <v>Сила удержания 180 кг,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1" s="9">
        <f ca="1">IFERROR(__xludf.DUMMYFUNCTION("""COMPUTED_VALUE"""),32820)</f>
        <v>32820</v>
      </c>
      <c r="D261" s="6"/>
      <c r="E261" s="8"/>
    </row>
    <row r="262" spans="1:5" ht="127.5">
      <c r="A262" s="5" t="str">
        <f ca="1">IFERROR(__xludf.DUMMYFUNCTION("""COMPUTED_VALUE"""),"Ех-замок FM-26 180 24В КМ8/КМ10/КМ12 (без датчика положения)
  РВ Ex mb I Mb X и 1Ex mb IIC T5 Gb X и Ex mb IIIC T95°oC Db X 
 АТФЕ.425729.156 ТУ")</f>
        <v>Ех-замок FM-26 180 24В КМ8/КМ10/КМ12 (без датчика положения)
  РВ Ex mb I Mb X и 1Ex mb IIC T5 Gb X и Ex mb IIIC T95°oC Db X 
 АТФЕ.425729.156 ТУ</v>
      </c>
      <c r="B262" s="6" t="str">
        <f ca="1">IFERROR(__xludf.DUMMYFUNCTION("""COMPUTED_VALUE"""),"Сила удержания 180 кг, 24 В, 120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яко"&amp;"ря, комплект крепления якоря. Рекомендуется использовать совместно с кнопкой Ех ВК200.")</f>
        <v>Сила удержания 180 кг, 24 В, 120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2" s="9">
        <f ca="1">IFERROR(__xludf.DUMMYFUNCTION("""COMPUTED_VALUE"""),32820)</f>
        <v>32820</v>
      </c>
      <c r="D262" s="6"/>
      <c r="E262" s="8"/>
    </row>
    <row r="263" spans="1:5" ht="127.5">
      <c r="A263" s="5" t="str">
        <f ca="1">IFERROR(__xludf.DUMMYFUNCTION("""COMPUTED_VALUE"""),"Ех-замок FM-26 180 24В К 
  РВ Ex mb I Mb X и 1Ex mb IIC T5 Gb X и Ex mb IIIC T95°oC Db X 
 АТФЕ.425729.156 ТУ")</f>
        <v>Ех-замок FM-26 180 24В К 
  РВ Ex mb I Mb X и 1Ex mb IIC T5 Gb X и Ex mb IIIC T95°oC Db X 
 АТФЕ.425729.156 ТУ</v>
      </c>
      <c r="B263" s="6" t="str">
        <f ca="1">IFERROR(__xludf.DUMMYFUNCTION("""COMPUTED_VALUE"""),"Сила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3" s="9">
        <f ca="1">IFERROR(__xludf.DUMMYFUNCTION("""COMPUTED_VALUE"""),33960)</f>
        <v>33960</v>
      </c>
      <c r="D263" s="6"/>
      <c r="E263" s="8"/>
    </row>
    <row r="264" spans="1:5" ht="127.5">
      <c r="A264" s="5" t="str">
        <f ca="1">IFERROR(__xludf.DUMMYFUNCTION("""COMPUTED_VALUE"""),"Ех-замок FM-26 180 24В В
  РВ Ex mb I Mb X и 1Ex mb IIC T5 Gb X и Ex mb IIIC T95°oC Db X 
 АТФЕ.425729.156 ТУ")</f>
        <v>Ех-замок FM-26 180 24В В
  РВ Ex mb I Mb X и 1Ex mb IIC T5 Gb X и Ex mb IIIC T95°oC Db X 
 АТФЕ.425729.156 ТУ</v>
      </c>
      <c r="B264" s="6" t="str">
        <f ca="1">IFERROR(__xludf.DUMMYFUNCTION("""COMPUTED_VALUE"""),"Сила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4" s="9">
        <f ca="1">IFERROR(__xludf.DUMMYFUNCTION("""COMPUTED_VALUE"""),33960)</f>
        <v>33960</v>
      </c>
      <c r="D264" s="6"/>
      <c r="E264" s="8"/>
    </row>
    <row r="265" spans="1:5" ht="127.5">
      <c r="A265" s="5" t="str">
        <f ca="1">IFERROR(__xludf.DUMMYFUNCTION("""COMPUTED_VALUE"""),"Ех-замок FM-26 180 24В Т 
  РВ Ex mb I Mb X и 1Ex mb IIC T5 Gb X и Ex mb IIIC T95°oC Db X 
 АТФЕ.425729.156 ТУ")</f>
        <v>Ех-замок FM-26 180 24В Т 
  РВ Ex mb I Mb X и 1Ex mb IIC T5 Gb X и Ex mb IIIC T95°oC Db X 
 АТФЕ.425729.156 ТУ</v>
      </c>
      <c r="B265" s="6" t="str">
        <f ca="1">IFERROR(__xludf.DUMMYFUNCTION("""COMPUTED_VALUE"""),"Сила удержания 180 кг, с герконовым датчиком положения,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крепления"&amp;"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5" s="9">
        <f ca="1">IFERROR(__xludf.DUMMYFUNCTION("""COMPUTED_VALUE"""),33960)</f>
        <v>33960</v>
      </c>
      <c r="D265" s="6"/>
      <c r="E265" s="8"/>
    </row>
    <row r="266" spans="1:5" ht="127.5">
      <c r="A266" s="5" t="str">
        <f ca="1">IFERROR(__xludf.DUMMYFUNCTION("""COMPUTED_VALUE"""),"Ех-замок FM-26 180 24В КМ8/КМ10/КМ12
  РВ Ex mb I Mb X и 1Ex mb IIC T5 Gb X и Ex mb IIIC T95°oC Db X 
 АТФЕ.425729.156 ТУ")</f>
        <v>Ех-замок FM-26 180 24В КМ8/КМ10/КМ12
  РВ Ex mb I Mb X и 1Ex mb IIC T5 Gb X и Ex mb IIIC T95°oC Db X 
 АТФЕ.425729.156 ТУ</v>
      </c>
      <c r="B266" s="6" t="str">
        <f ca="1">IFERROR(__xludf.DUMMYFUNCTION("""COMPUTED_VALUE"""),"Сила удержания 180 кг, с герконовым датчиком положения, 24 В, 120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кре"&amp;"пления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6" s="9">
        <f ca="1">IFERROR(__xludf.DUMMYFUNCTION("""COMPUTED_VALUE"""),33960)</f>
        <v>33960</v>
      </c>
      <c r="D266" s="6"/>
      <c r="E266" s="8"/>
    </row>
    <row r="267" spans="1:5" ht="140.25">
      <c r="A267" s="5" t="str">
        <f ca="1">IFERROR(__xludf.DUMMYFUNCTION("""COMPUTED_VALUE"""),"Ех-замок FM-26 250 12В К (без датчика положения)
  РВ Ex mb I Mb X и 1Ex mb IIC T5 Gb X и Ex mb IIIC T95°oC Db X 
 АТФЕ.425729.156 ТУ")</f>
        <v>Ех-замок FM-26 250 12В К (без датчика положения)
  РВ Ex mb I Mb X и 1Ex mb IIC T5 Gb X и Ex mb IIIC T95°oC Db X 
 АТФЕ.425729.156 ТУ</v>
      </c>
      <c r="B267" s="6" t="str">
        <f ca="1">IFERROR(__xludf.DUMMYFUNCTION("""COMPUTED_VALUE"""),"Сила удержания 250 кг, 12 В, 300 мА, без датчика положения,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п"&amp;"ластина,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7" s="9">
        <f ca="1">IFERROR(__xludf.DUMMYFUNCTION("""COMPUTED_VALUE"""),41800)</f>
        <v>41800</v>
      </c>
      <c r="D267" s="6"/>
      <c r="E267" s="8"/>
    </row>
    <row r="268" spans="1:5" ht="140.25">
      <c r="A268" s="5" t="str">
        <f ca="1">IFERROR(__xludf.DUMMYFUNCTION("""COMPUTED_VALUE"""),"Ех-замок FM-26 250 12В В (без датчика положения)
  РВ Ex mb I Mb X и 1Ex mb IIC T5 Gb X и Ex mb IIIC T95°oC Db X 
 АТФЕ.425729.156 ТУ")</f>
        <v>Ех-замок FM-26 250 12В В (без датчика положения)
  РВ Ex mb I Mb X и 1Ex mb IIC T5 Gb X и Ex mb IIIC T95°oC Db X 
 АТФЕ.425729.156 ТУ</v>
      </c>
      <c r="B268" s="6" t="str">
        <f ca="1">IFERROR(__xludf.DUMMYFUNCTION("""COMPUTED_VALUE"""),"Сила удержания 250 кг, 12 В, 300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8" s="9">
        <f ca="1">IFERROR(__xludf.DUMMYFUNCTION("""COMPUTED_VALUE"""),41800)</f>
        <v>41800</v>
      </c>
      <c r="D268" s="6"/>
      <c r="E268" s="8"/>
    </row>
    <row r="269" spans="1:5" ht="140.25">
      <c r="A269" s="5" t="str">
        <f ca="1">IFERROR(__xludf.DUMMYFUNCTION("""COMPUTED_VALUE"""),"Ех-замок FM-26 250 12В Т (без датчика положения)
  РВ Ex mb I Mb X и 1Ex mb IIC T5 Gb X и Ex mb IIIC T95°oC Db X 
 АТФЕ.425729.156 ТУ")</f>
        <v>Ех-замок FM-26 250 12В Т (без датчика положения)
  РВ Ex mb I Mb X и 1Ex mb IIC T5 Gb X и Ex mb IIIC T95°oC Db X 
 АТФЕ.425729.156 ТУ</v>
      </c>
      <c r="B269" s="6" t="str">
        <f ca="1">IFERROR(__xludf.DUMMYFUNCTION("""COMPUTED_VALUE"""),"Сила удержания 250 кг, 12 В, 300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9" s="9">
        <f ca="1">IFERROR(__xludf.DUMMYFUNCTION("""COMPUTED_VALUE"""),41800)</f>
        <v>41800</v>
      </c>
      <c r="D269" s="6"/>
      <c r="E269" s="8"/>
    </row>
    <row r="270" spans="1:5" ht="140.25">
      <c r="A270" s="5" t="str">
        <f ca="1">IFERROR(__xludf.DUMMYFUNCTION("""COMPUTED_VALUE"""),"Ех-замок FM-26 250 12В КМ8/КМ10/КМ12 (без датчика положения)
  РВ Ex mb I Mb X и 1Ex mb IIC T5 Gb X и Ex mb IIIC T95°oC Db X 
 АТФЕ.425729.156 ТУ")</f>
        <v>Ех-замок FM-26 250 12В КМ8/КМ10/КМ12 (без датчика положения)
  РВ Ex mb I Mb X и 1Ex mb IIC T5 Gb X и Ex mb IIIC T95°oC Db X 
 АТФЕ.425729.156 ТУ</v>
      </c>
      <c r="B270" s="6" t="str">
        <f ca="1">IFERROR(__xludf.DUMMYFUNCTION("""COMPUTED_VALUE"""),"Сила удержания 250 кг, 12 В, 300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0" s="9">
        <f ca="1">IFERROR(__xludf.DUMMYFUNCTION("""COMPUTED_VALUE"""),41800)</f>
        <v>41800</v>
      </c>
      <c r="D270" s="6"/>
      <c r="E270" s="8"/>
    </row>
    <row r="271" spans="1:5" ht="153">
      <c r="A271" s="5" t="str">
        <f ca="1">IFERROR(__xludf.DUMMYFUNCTION("""COMPUTED_VALUE"""),"Ех-замок FM-26 250 12В К 
  РВ Ex mb I Mb X и 1Ex mb IIC T5 Gb X и Ex mb IIIC T95°oC Db X 
 АТФЕ.425729.156 ТУ")</f>
        <v>Ех-замок FM-26 250 12В К 
  РВ Ex mb I Mb X и 1Ex mb IIC T5 Gb X и Ex mb IIIC T95°oC Db X 
 АТФЕ.425729.156 ТУ</v>
      </c>
      <c r="B271" s="6" t="str">
        <f ca="1">IFERROR(__xludf.DUMMYFUNCTION("""COMPUTED_VALUE"""),"Сила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1" s="9">
        <f ca="1">IFERROR(__xludf.DUMMYFUNCTION("""COMPUTED_VALUE"""),43175)</f>
        <v>43175</v>
      </c>
      <c r="D271" s="6"/>
      <c r="E271" s="8"/>
    </row>
    <row r="272" spans="1:5" ht="153">
      <c r="A272" s="5" t="str">
        <f ca="1">IFERROR(__xludf.DUMMYFUNCTION("""COMPUTED_VALUE"""),"Ех-замок FM-26 250 12В В
  РВ Ex mb I Mb X и 1Ex mb IIC T5 Gb X и Ex mb IIIC T95°oC Db X 
 АТФЕ.425729.156 ТУ")</f>
        <v>Ех-замок FM-26 250 12В В
  РВ Ex mb I Mb X и 1Ex mb IIC T5 Gb X и Ex mb IIIC T95°oC Db X 
 АТФЕ.425729.156 ТУ</v>
      </c>
      <c r="B272" s="6" t="str">
        <f ca="1">IFERROR(__xludf.DUMMYFUNCTION("""COMPUTED_VALUE"""),"Сила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2" s="9">
        <f ca="1">IFERROR(__xludf.DUMMYFUNCTION("""COMPUTED_VALUE"""),43175)</f>
        <v>43175</v>
      </c>
      <c r="D272" s="6"/>
      <c r="E272" s="8"/>
    </row>
    <row r="273" spans="1:5" ht="153">
      <c r="A273" s="5" t="str">
        <f ca="1">IFERROR(__xludf.DUMMYFUNCTION("""COMPUTED_VALUE"""),"Ех-замок FM-26 250 12В Т 
  РВ Ex mb I Mb X и 1Ex mb IIC T5 Gb X и Ex mb IIIC T95°oC Db X 
 АТФЕ.425729.156 ТУ")</f>
        <v>Ех-замок FM-26 250 12В Т 
  РВ Ex mb I Mb X и 1Ex mb IIC T5 Gb X и Ex mb IIIC T95°oC Db X 
 АТФЕ.425729.156 ТУ</v>
      </c>
      <c r="B273" s="6" t="str">
        <f ca="1">IFERROR(__xludf.DUMMYFUNCTION("""COMPUTED_VALUE"""),"Сила удержания 250 кг, с герконовым датчиком положения, 12 В, 300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3" s="9">
        <f ca="1">IFERROR(__xludf.DUMMYFUNCTION("""COMPUTED_VALUE"""),43175)</f>
        <v>43175</v>
      </c>
      <c r="D273" s="6"/>
      <c r="E273" s="8"/>
    </row>
    <row r="274" spans="1:5" ht="153">
      <c r="A274" s="5" t="str">
        <f ca="1">IFERROR(__xludf.DUMMYFUNCTION("""COMPUTED_VALUE"""),"Ех-замок FM-26 250 12В КМ8/КМ10/КМ12
  РВ Ex mb I Mb X и 1Ex mb IIC T5 Gb X и Ex mb IIIC T95°oC Db X 
 АТФЕ.425729.156 ТУ")</f>
        <v>Ех-замок FM-26 250 12В КМ8/КМ10/КМ12
  РВ Ex mb I Mb X и 1Ex mb IIC T5 Gb X и Ex mb IIIC T95°oC Db X 
 АТФЕ.425729.156 ТУ</v>
      </c>
      <c r="B274" s="6" t="str">
        <f ca="1">IFERROR(__xludf.DUMMYFUNCTION("""COMPUTED_VALUE"""),"Сила удержания 250 кг, с герконовым датчиком положения, 12 В, 300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4" s="9">
        <f ca="1">IFERROR(__xludf.DUMMYFUNCTION("""COMPUTED_VALUE"""),43175)</f>
        <v>43175</v>
      </c>
      <c r="D274" s="6"/>
      <c r="E274" s="8"/>
    </row>
    <row r="275" spans="1:5" ht="127.5">
      <c r="A275" s="5" t="str">
        <f ca="1">IFERROR(__xludf.DUMMYFUNCTION("""COMPUTED_VALUE"""),"Ех-замок FM-26 250 24В К (без датчика положения)
  РВ Ex mb I Mb X и 1Ex mb IIC T5 Gb X и Ex mb IIIC T95°oC Db X 
 АТФЕ.425729.156 ТУ")</f>
        <v>Ех-замок FM-26 250 24В К (без датчика положения)
  РВ Ex mb I Mb X и 1Ex mb IIC T5 Gb X и Ex mb IIIC T95°oC Db X 
 АТФЕ.425729.156 ТУ</v>
      </c>
      <c r="B275" s="6" t="str">
        <f ca="1">IFERROR(__xludf.DUMMYFUNCTION("""COMPUTED_VALUE"""),"Сила удержания 250 кг, 24 В, 150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"&amp;"комплект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5" s="9">
        <f ca="1">IFERROR(__xludf.DUMMYFUNCTION("""COMPUTED_VALUE"""),41800)</f>
        <v>41800</v>
      </c>
      <c r="D275" s="6"/>
      <c r="E275" s="8"/>
    </row>
    <row r="276" spans="1:5" ht="140.25">
      <c r="A276" s="5" t="str">
        <f ca="1">IFERROR(__xludf.DUMMYFUNCTION("""COMPUTED_VALUE"""),"Ех-замок FM-26 250 24В В (без датчика положения)
  РВ Ex mb I Mb X и 1Ex mb IIC T5 Gb X и Ex mb IIIC T95°oC Db X 
 АТФЕ.425729.156 ТУ")</f>
        <v>Ех-замок FM-26 250 24В В (без датчика положения)
  РВ Ex mb I Mb X и 1Ex mb IIC T5 Gb X и Ex mb IIIC T95°oC Db X 
 АТФЕ.425729.156 ТУ</v>
      </c>
      <c r="B276" s="6" t="str">
        <f ca="1">IFERROR(__xludf.DUMMYFUNCTION("""COMPUTED_VALUE"""),"Сила удержания 250 кг, 24 В, 150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6" s="9">
        <f ca="1">IFERROR(__xludf.DUMMYFUNCTION("""COMPUTED_VALUE"""),41800)</f>
        <v>41800</v>
      </c>
      <c r="D276" s="6"/>
      <c r="E276" s="8"/>
    </row>
    <row r="277" spans="1:5" ht="140.25">
      <c r="A277" s="5" t="str">
        <f ca="1">IFERROR(__xludf.DUMMYFUNCTION("""COMPUTED_VALUE"""),"Ех-замок FM-26 250 124В Т (без датчика положения)
  РВ Ex mb I Mb X и 1Ex mb IIC T5 Gb X и Ex mb IIIC T95°oC Db X 
 АТФЕ.425729.156 ТУ")</f>
        <v>Ех-замок FM-26 250 124В Т (без датчика положения)
  РВ Ex mb I Mb X и 1Ex mb IIC T5 Gb X и Ex mb IIIC T95°oC Db X 
 АТФЕ.425729.156 ТУ</v>
      </c>
      <c r="B277" s="6" t="str">
        <f ca="1">IFERROR(__xludf.DUMMYFUNCTION("""COMPUTED_VALUE"""),"Сила удержания 250 кг, 24 В, 150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7" s="9">
        <f ca="1">IFERROR(__xludf.DUMMYFUNCTION("""COMPUTED_VALUE"""),41800)</f>
        <v>41800</v>
      </c>
      <c r="D277" s="6"/>
      <c r="E277" s="8"/>
    </row>
    <row r="278" spans="1:5" ht="140.25">
      <c r="A278" s="5" t="str">
        <f ca="1">IFERROR(__xludf.DUMMYFUNCTION("""COMPUTED_VALUE"""),"Ех-замок FM-26 250 24В КМ8/КМ10/КМ12 (без датчика положения)
  РВ Ex mb I Mb X и 1Ex mb IIC T5 Gb X и Ex mb IIIC T95°oC Db X 
 АТФЕ.425729.156 ТУ")</f>
        <v>Ех-замок FM-26 250 24В КМ8/КМ10/КМ12 (без датчика положения)
  РВ Ex mb I Mb X и 1Ex mb IIC T5 Gb X и Ex mb IIIC T95°oC Db X 
 АТФЕ.425729.156 ТУ</v>
      </c>
      <c r="B278" s="6" t="str">
        <f ca="1">IFERROR(__xludf.DUMMYFUNCTION("""COMPUTED_VALUE"""),"Сила удержания 250 кг, 24 В, 150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8" s="9">
        <f ca="1">IFERROR(__xludf.DUMMYFUNCTION("""COMPUTED_VALUE"""),41800)</f>
        <v>41800</v>
      </c>
      <c r="D278" s="6"/>
      <c r="E278" s="8"/>
    </row>
    <row r="279" spans="1:5" ht="153">
      <c r="A279" s="5" t="str">
        <f ca="1">IFERROR(__xludf.DUMMYFUNCTION("""COMPUTED_VALUE"""),"Ех-замок FM-26 250 24В К 
  РВ Ex mb I Mb X и 1Ex mb IIC T5 Gb X и Ex mb IIIC T95°oC Db X 
 АТФЕ.425729.156 ТУ")</f>
        <v>Ех-замок FM-26 250 24В К 
  РВ Ex mb I Mb X и 1Ex mb IIC T5 Gb X и Ex mb IIIC T95°oC Db X 
 АТФЕ.425729.156 ТУ</v>
      </c>
      <c r="B279" s="6" t="str">
        <f ca="1">IFERROR(__xludf.DUMMYFUNCTION("""COMPUTED_VALUE"""),"Сила удержания 250 кг, с герконовым датчиком положения, 24 В, 120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120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9" s="9">
        <f ca="1">IFERROR(__xludf.DUMMYFUNCTION("""COMPUTED_VALUE"""),43175)</f>
        <v>43175</v>
      </c>
      <c r="D279" s="6"/>
      <c r="E279" s="8"/>
    </row>
    <row r="280" spans="1:5" ht="153">
      <c r="A280" s="5" t="str">
        <f ca="1">IFERROR(__xludf.DUMMYFUNCTION("""COMPUTED_VALUE"""),"Ех-замок FM-26 250 24В В
  РВ Ex mb I Mb X и 1Ex mb IIC T5 Gb X и Ex mb IIIC T95°oC Db X 
 АТФЕ.425729.156 ТУ")</f>
        <v>Ех-замок FM-26 250 24В В
  РВ Ex mb I Mb X и 1Ex mb IIC T5 Gb X и Ex mb IIIC T95°oC Db X 
 АТФЕ.425729.156 ТУ</v>
      </c>
      <c r="B280" s="6" t="str">
        <f ca="1">IFERROR(__xludf.DUMMYFUNCTION("""COMPUTED_VALUE"""),"Сила удержания 250 кг, с герконовым датчиком положения, 24 В, 150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150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0" s="9">
        <f ca="1">IFERROR(__xludf.DUMMYFUNCTION("""COMPUTED_VALUE"""),43175)</f>
        <v>43175</v>
      </c>
      <c r="D280" s="6"/>
      <c r="E280" s="8"/>
    </row>
    <row r="281" spans="1:5" ht="153">
      <c r="A281" s="5" t="str">
        <f ca="1">IFERROR(__xludf.DUMMYFUNCTION("""COMPUTED_VALUE"""),"Ех-замок FM-26 250 24В Т 
  РВ Ex mb I Mb X и 1Ex mb IIC T5 Gb X и Ex mb IIIC T95°oC Db X 
 АТФЕ.425729.156 ТУ")</f>
        <v>Ех-замок FM-26 250 24В Т 
  РВ Ex mb I Mb X и 1Ex mb IIC T5 Gb X и Ex mb IIIC T95°oC Db X 
 АТФЕ.425729.156 ТУ</v>
      </c>
      <c r="B281" s="6" t="str">
        <f ca="1">IFERROR(__xludf.DUMMYFUNCTION("""COMPUTED_VALUE"""),"Сила удержания 250 кг, с герконовым датчиком положения, 24 В, 150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150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1" s="9">
        <f ca="1">IFERROR(__xludf.DUMMYFUNCTION("""COMPUTED_VALUE"""),43175)</f>
        <v>43175</v>
      </c>
      <c r="D281" s="6"/>
      <c r="E281" s="8"/>
    </row>
    <row r="282" spans="1:5" ht="153">
      <c r="A282" s="5" t="str">
        <f ca="1">IFERROR(__xludf.DUMMYFUNCTION("""COMPUTED_VALUE"""),"Ех-замок FM-26 250 24В КМ8/КМ10/КМ12
  РВ Ex mb I Mb X и 1Ex mb IIC T5 Gb X и Ex mb IIIC T95°oC Db X 
 АТФЕ.425729.156 ТУ")</f>
        <v>Ех-замок FM-26 250 24В КМ8/КМ10/КМ12
  РВ Ex mb I Mb X и 1Ex mb IIC T5 Gb X и Ex mb IIIC T95°oC Db X 
 АТФЕ.425729.156 ТУ</v>
      </c>
      <c r="B282" s="6" t="str">
        <f ca="1">IFERROR(__xludf.DUMMYFUNCTION("""COMPUTED_VALUE"""),"Сила удержания 250 кг, с герконовым датчиком положения, 24 В, 150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150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2" s="9">
        <f ca="1">IFERROR(__xludf.DUMMYFUNCTION("""COMPUTED_VALUE"""),43175)</f>
        <v>43175</v>
      </c>
      <c r="D282" s="6"/>
      <c r="E282" s="8"/>
    </row>
    <row r="283" spans="1:5" ht="140.25">
      <c r="A283" s="5" t="str">
        <f ca="1">IFERROR(__xludf.DUMMYFUNCTION("""COMPUTED_VALUE"""),"Ех-замок FM-26 350 12В К (без датчика положения)
  РВ Ex mb I Mb X и 1Ex mb IIC T5 Gb X и Ex mb IIIC T95°oC Db X 
 АТФЕ.425729.156 ТУ")</f>
        <v>Ех-замок FM-26 350 12В К (без датчика положения)
  РВ Ex mb I Mb X и 1Ex mb IIC T5 Gb X и Ex mb IIIC T95°oC Db X 
 АТФЕ.425729.156 ТУ</v>
      </c>
      <c r="B283" s="6" t="str">
        <f ca="1">IFERROR(__xludf.DUMMYFUNCTION("""COMPUTED_VALUE"""),"Сила удержания 350 кг, 12 В, 350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п"&amp;"ластина,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3" s="9">
        <f ca="1">IFERROR(__xludf.DUMMYFUNCTION("""COMPUTED_VALUE"""),49610)</f>
        <v>49610</v>
      </c>
      <c r="D283" s="6"/>
      <c r="E283" s="8"/>
    </row>
    <row r="284" spans="1:5" ht="140.25">
      <c r="A284" s="5" t="str">
        <f ca="1">IFERROR(__xludf.DUMMYFUNCTION("""COMPUTED_VALUE"""),"Ех-замок FM-26 350 12В В (без датчика положения)
  РВ Ex mb I Mb X и 1Ex mb IIC T5 Gb X и Ex mb IIIC T95°oC Db X 
 АТФЕ.425729.156 ТУ")</f>
        <v>Ех-замок FM-26 350 12В В (без датчика положения)
  РВ Ex mb I Mb X и 1Ex mb IIC T5 Gb X и Ex mb IIIC T95°oC Db X 
 АТФЕ.425729.156 ТУ</v>
      </c>
      <c r="B284" s="6" t="str">
        <f ca="1">IFERROR(__xludf.DUMMYFUNCTION("""COMPUTED_VALUE"""),"Сила удержания 350 кг, 12 В, 350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4" s="9">
        <f ca="1">IFERROR(__xludf.DUMMYFUNCTION("""COMPUTED_VALUE"""),49610)</f>
        <v>49610</v>
      </c>
      <c r="D284" s="6"/>
      <c r="E284" s="8"/>
    </row>
    <row r="285" spans="1:5" ht="140.25">
      <c r="A285" s="5" t="str">
        <f ca="1">IFERROR(__xludf.DUMMYFUNCTION("""COMPUTED_VALUE"""),"Ех-замок FM-26 350 12В Т (без датчика положения)
  РВ Ex mb I Mb X и 1Ex mb IIC T5 Gb X и Ex mb IIIC T95°oC Db X 
 АТФЕ.425729.156 ТУ")</f>
        <v>Ех-замок FM-26 350 12В Т (без датчика положения)
  РВ Ex mb I Mb X и 1Ex mb IIC T5 Gb X и Ex mb IIIC T95°oC Db X 
 АТФЕ.425729.156 ТУ</v>
      </c>
      <c r="B285" s="6" t="str">
        <f ca="1">IFERROR(__xludf.DUMMYFUNCTION("""COMPUTED_VALUE"""),"Сила удержания 350 кг, 12 В, 350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5" s="9">
        <f ca="1">IFERROR(__xludf.DUMMYFUNCTION("""COMPUTED_VALUE"""),49610)</f>
        <v>49610</v>
      </c>
      <c r="D285" s="6"/>
      <c r="E285" s="8"/>
    </row>
    <row r="286" spans="1:5" ht="140.25">
      <c r="A286" s="5" t="str">
        <f ca="1">IFERROR(__xludf.DUMMYFUNCTION("""COMPUTED_VALUE"""),"Ех-замок FM-26 350 12В КМ8/КМ10/КМ12 (без датчика положения)
  РВ Ex mb I Mb X и 1Ex mb IIC T5 Gb X и Ex mb IIIC T95°oC Db X 
 АТФЕ.425729.156 ТУ")</f>
        <v>Ех-замок FM-26 350 12В КМ8/КМ10/КМ12 (без датчика положения)
  РВ Ex mb I Mb X и 1Ex mb IIC T5 Gb X и Ex mb IIIC T95°oC Db X 
 АТФЕ.425729.156 ТУ</v>
      </c>
      <c r="B286" s="6" t="str">
        <f ca="1">IFERROR(__xludf.DUMMYFUNCTION("""COMPUTED_VALUE"""),"Сила удержания 350 кг, 12 В, 350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6" s="9">
        <f ca="1">IFERROR(__xludf.DUMMYFUNCTION("""COMPUTED_VALUE"""),49610)</f>
        <v>49610</v>
      </c>
      <c r="D286" s="6"/>
      <c r="E286" s="8"/>
    </row>
    <row r="287" spans="1:5" ht="153">
      <c r="A287" s="5" t="str">
        <f ca="1">IFERROR(__xludf.DUMMYFUNCTION("""COMPUTED_VALUE"""),"Ех-замок FM-26 350 12В К 
  РВ Ex mb I Mb X и 1Ex mb IIC T5 Gb X и Ex mb IIIC T95°oC Db X 
 АТФЕ.425729.156 ТУ")</f>
        <v>Ех-замок FM-26 350 12В К 
  РВ Ex mb I Mb X и 1Ex mb IIC T5 Gb X и Ex mb IIIC T95°oC Db X 
 АТФЕ.425729.156 ТУ</v>
      </c>
      <c r="B287" s="6" t="str">
        <f ca="1">IFERROR(__xludf.DUMMYFUNCTION("""COMPUTED_VALUE"""),"Сила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7" s="9">
        <f ca="1">IFERROR(__xludf.DUMMYFUNCTION("""COMPUTED_VALUE"""),50985)</f>
        <v>50985</v>
      </c>
      <c r="D287" s="6"/>
      <c r="E287" s="8"/>
    </row>
    <row r="288" spans="1:5" ht="153">
      <c r="A288" s="5" t="str">
        <f ca="1">IFERROR(__xludf.DUMMYFUNCTION("""COMPUTED_VALUE"""),"Ех-замок FM-26 350 12В В
  РВ Ex mb I Mb X и 1Ex mb IIC T5 Gb X и Ex mb IIIC T95°oC Db X 
 АТФЕ.425729.156 ТУ")</f>
        <v>Ех-замок FM-26 350 12В В
  РВ Ex mb I Mb X и 1Ex mb IIC T5 Gb X и Ex mb IIIC T95°oC Db X 
 АТФЕ.425729.156 ТУ</v>
      </c>
      <c r="B288" s="6" t="str">
        <f ca="1">IFERROR(__xludf.DUMMYFUNCTION("""COMPUTED_VALUE"""),"Сила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8" s="9">
        <f ca="1">IFERROR(__xludf.DUMMYFUNCTION("""COMPUTED_VALUE"""),50985)</f>
        <v>50985</v>
      </c>
      <c r="D288" s="6"/>
      <c r="E288" s="8"/>
    </row>
    <row r="289" spans="1:5" ht="153">
      <c r="A289" s="5" t="str">
        <f ca="1">IFERROR(__xludf.DUMMYFUNCTION("""COMPUTED_VALUE"""),"Ех-замок FM-26 350 12В Т 
  РВ Ex mb I Mb X и 1Ex mb IIC T5 Gb X и Ex mb IIIC T95°oC Db X 
 АТФЕ.425729.156 ТУ")</f>
        <v>Ех-замок FM-26 350 12В Т 
  РВ Ex mb I Mb X и 1Ex mb IIC T5 Gb X и Ex mb IIIC T95°oC Db X 
 АТФЕ.425729.156 ТУ</v>
      </c>
      <c r="B289" s="6" t="str">
        <f ca="1">IFERROR(__xludf.DUMMYFUNCTION("""COMPUTED_VALUE"""),"Сила удержания 350 кг, с герконовым датчиком положения, 12 В, 350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9" s="9">
        <f ca="1">IFERROR(__xludf.DUMMYFUNCTION("""COMPUTED_VALUE"""),50985)</f>
        <v>50985</v>
      </c>
      <c r="D289" s="6"/>
      <c r="E289" s="8"/>
    </row>
    <row r="290" spans="1:5" ht="153">
      <c r="A290" s="5" t="str">
        <f ca="1">IFERROR(__xludf.DUMMYFUNCTION("""COMPUTED_VALUE"""),"Ех-замок FM-26 350 12В КМ8/КМ10/КМ12
  РВ Ex mb I Mb X и 1Ex mb IIC T5 Gb X и Ex mb IIIC T95°oC Db X 
 АТФЕ.425729.156 ТУ")</f>
        <v>Ех-замок FM-26 350 12В КМ8/КМ10/КМ12
  РВ Ex mb I Mb X и 1Ex mb IIC T5 Gb X и Ex mb IIIC T95°oC Db X 
 АТФЕ.425729.156 ТУ</v>
      </c>
      <c r="B290" s="6" t="str">
        <f ca="1">IFERROR(__xludf.DUMMYFUNCTION("""COMPUTED_VALUE"""),"Сила удержания 350 кг, с герконовым датчиком положения, 12 В, 350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0" s="9">
        <f ca="1">IFERROR(__xludf.DUMMYFUNCTION("""COMPUTED_VALUE"""),50985)</f>
        <v>50985</v>
      </c>
      <c r="D290" s="6"/>
      <c r="E290" s="8"/>
    </row>
    <row r="291" spans="1:5" ht="140.25">
      <c r="A291" s="5" t="str">
        <f ca="1">IFERROR(__xludf.DUMMYFUNCTION("""COMPUTED_VALUE"""),"Ех-замок FM-26 350 24В К (без датчика положения)
  РВ Ex mb I Mb X и 1Ex mb IIC T5 Gb X и Ex mb IIIC T95°oC Db X 
 АТФЕ.425729.156 ТУ")</f>
        <v>Ех-замок FM-26 350 24В К (без датчика положения)
  РВ Ex mb I Mb X и 1Ex mb IIC T5 Gb X и Ex mb IIIC T95°oC Db X 
 АТФЕ.425729.156 ТУ</v>
      </c>
      <c r="B291" s="6" t="str">
        <f ca="1">IFERROR(__xludf.DUMMYFUNCTION("""COMPUTED_VALUE"""),"Сила удержания 350 кг, 24 В, 180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п"&amp;"ластина,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1" s="9">
        <f ca="1">IFERROR(__xludf.DUMMYFUNCTION("""COMPUTED_VALUE"""),49610)</f>
        <v>49610</v>
      </c>
      <c r="D291" s="6"/>
      <c r="E291" s="8"/>
    </row>
    <row r="292" spans="1:5" ht="140.25">
      <c r="A292" s="5" t="str">
        <f ca="1">IFERROR(__xludf.DUMMYFUNCTION("""COMPUTED_VALUE"""),"Ех-замок FM-26 350 24В В (без датчика положения)
  РВ Ex mb I Mb X и 1Ex mb IIC T5 Gb X и Ex mb IIIC T95°oC Db X 
 АТФЕ.425729.156 ТУ")</f>
        <v>Ех-замок FM-26 350 24В В (без датчика положения)
  РВ Ex mb I Mb X и 1Ex mb IIC T5 Gb X и Ex mb IIIC T95°oC Db X 
 АТФЕ.425729.156 ТУ</v>
      </c>
      <c r="B292" s="6" t="str">
        <f ca="1">IFERROR(__xludf.DUMMYFUNCTION("""COMPUTED_VALUE"""),"Сила удержания 350 кг, 24 В, 180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2" s="9">
        <f ca="1">IFERROR(__xludf.DUMMYFUNCTION("""COMPUTED_VALUE"""),49610)</f>
        <v>49610</v>
      </c>
      <c r="D292" s="6"/>
      <c r="E292" s="8"/>
    </row>
    <row r="293" spans="1:5" ht="140.25">
      <c r="A293" s="5" t="str">
        <f ca="1">IFERROR(__xludf.DUMMYFUNCTION("""COMPUTED_VALUE"""),"Ех-замок FM-26 350 24В Т (без датчика положения)
  РВ Ex mb I Mb X и 1Ex mb IIC T5 Gb X и Ex mb IIIC T95°oC Db X 
 АТФЕ.425729.156 ТУ")</f>
        <v>Ех-замок FM-26 350 24В Т (без датчика положения)
  РВ Ex mb I Mb X и 1Ex mb IIC T5 Gb X и Ex mb IIIC T95°oC Db X 
 АТФЕ.425729.156 ТУ</v>
      </c>
      <c r="B293" s="6" t="str">
        <f ca="1">IFERROR(__xludf.DUMMYFUNCTION("""COMPUTED_VALUE"""),"Сила удержания 350 кг, 24 В, 180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3" s="9">
        <f ca="1">IFERROR(__xludf.DUMMYFUNCTION("""COMPUTED_VALUE"""),49610)</f>
        <v>49610</v>
      </c>
      <c r="D293" s="6"/>
      <c r="E293" s="8"/>
    </row>
    <row r="294" spans="1:5" ht="140.25">
      <c r="A294" s="5" t="str">
        <f ca="1">IFERROR(__xludf.DUMMYFUNCTION("""COMPUTED_VALUE"""),"Ех-замок FM-26 350 24В КМ8/КМ10/КМ12 (без датчика положения)
  РВ Ex mb I Mb X и 1Ex mb IIC T5 Gb X и Ex mb IIIC T95°oC Db X 
 АТФЕ.425729.156 ТУ")</f>
        <v>Ех-замок FM-26 350 24В КМ8/КМ10/КМ12 (без датчика положения)
  РВ Ex mb I Mb X и 1Ex mb IIC T5 Gb X и Ex mb IIIC T95°oC Db X 
 АТФЕ.425729.156 ТУ</v>
      </c>
      <c r="B294" s="6" t="str">
        <f ca="1">IFERROR(__xludf.DUMMYFUNCTION("""COMPUTED_VALUE"""),"Сила удержания 350 кг, 24 В, 180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4" s="9">
        <f ca="1">IFERROR(__xludf.DUMMYFUNCTION("""COMPUTED_VALUE"""),49610)</f>
        <v>49610</v>
      </c>
      <c r="D294" s="6"/>
      <c r="E294" s="8"/>
    </row>
    <row r="295" spans="1:5" ht="127.5">
      <c r="A295" s="5" t="str">
        <f ca="1">IFERROR(__xludf.DUMMYFUNCTION("""COMPUTED_VALUE"""),"Ех-замок FM-26 350 24В К 
  РВ Ex mb I Mb X и 1Ex mb IIC T5 Gb X и Ex mb IIIC T95°oC Db X 
 АТФЕ.425729.156 ТУ")</f>
        <v>Ех-замок FM-26 350 24В К 
  РВ Ex mb I Mb X и 1Ex mb IIC T5 Gb X и Ex mb IIIC T95°oC Db X 
 АТФЕ.425729.156 ТУ</v>
      </c>
      <c r="B295" s="6" t="str">
        <f ca="1">IFERROR(__xludf.DUMMYFUNCTION("""COMPUTED_VALUE"""),"Сила удержания 350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350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5" s="9">
        <f ca="1">IFERROR(__xludf.DUMMYFUNCTION("""COMPUTED_VALUE"""),50985)</f>
        <v>50985</v>
      </c>
      <c r="D295" s="6"/>
      <c r="E295" s="8"/>
    </row>
    <row r="296" spans="1:5" ht="153">
      <c r="A296" s="5" t="str">
        <f ca="1">IFERROR(__xludf.DUMMYFUNCTION("""COMPUTED_VALUE"""),"Ех-замок FM-26 350 24В В
  РВ Ex mb I Mb X и 1Ex mb IIC T5 Gb X и Ex mb IIIC T95°oC Db X 
 АТФЕ.425729.156 ТУ")</f>
        <v>Ех-замок FM-26 350 24В В
  РВ Ex mb I Mb X и 1Ex mb IIC T5 Gb X и Ex mb IIIC T95°oC Db X 
 АТФЕ.425729.156 ТУ</v>
      </c>
      <c r="B296" s="6" t="str">
        <f ca="1">IFERROR(__xludf.DUMMYFUNCTION("""COMPUTED_VALUE"""),"Сила удержания 350 кг, с герконовым датчиком положения, 24 В, 120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24 В, 120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6" s="9">
        <f ca="1">IFERROR(__xludf.DUMMYFUNCTION("""COMPUTED_VALUE"""),50985)</f>
        <v>50985</v>
      </c>
      <c r="D296" s="6"/>
      <c r="E296" s="8"/>
    </row>
    <row r="297" spans="1:5" ht="153">
      <c r="A297" s="5" t="str">
        <f ca="1">IFERROR(__xludf.DUMMYFUNCTION("""COMPUTED_VALUE"""),"Ех-замок FM-26 350 24В Т 
  РВ Ex mb I Mb X и 1Ex mb IIC T5 Gb X и Ex mb IIIC T95°oC Db X 
 АТФЕ.425729.156 ТУ")</f>
        <v>Ех-замок FM-26 350 24В Т 
  РВ Ex mb I Mb X и 1Ex mb IIC T5 Gb X и Ex mb IIIC T95°oC Db X 
 АТФЕ.425729.156 ТУ</v>
      </c>
      <c r="B297" s="6" t="str">
        <f ca="1">IFERROR(__xludf.DUMMYFUNCTION("""COMPUTED_VALUE"""),"Сила удержания 350 кг, с герконовым датчиком положения, 24 В, 180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24 В, 180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7" s="9">
        <f ca="1">IFERROR(__xludf.DUMMYFUNCTION("""COMPUTED_VALUE"""),50985)</f>
        <v>50985</v>
      </c>
      <c r="D297" s="6"/>
      <c r="E297" s="8"/>
    </row>
    <row r="298" spans="1:5" ht="153">
      <c r="A298" s="5" t="str">
        <f ca="1">IFERROR(__xludf.DUMMYFUNCTION("""COMPUTED_VALUE"""),"Ех-замок FM-26 350 24В КМ8/КМ10/КМ12
  РВ Ex mb I Mb X и 1Ex mb IIC T5 Gb X и Ex mb IIIC T95°oC Db X 
 АТФЕ.425729.156 ТУ")</f>
        <v>Ех-замок FM-26 350 24В КМ8/КМ10/КМ12
  РВ Ex mb I Mb X и 1Ex mb IIC T5 Gb X и Ex mb IIIC T95°oC Db X 
 АТФЕ.425729.156 ТУ</v>
      </c>
      <c r="B298" s="6" t="str">
        <f ca="1">IFERROR(__xludf.DUMMYFUNCTION("""COMPUTED_VALUE"""),"Сила удержания 350 кг, с герконовым датчиком положения, 24 В, 120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24 В, 120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8" s="9">
        <f ca="1">IFERROR(__xludf.DUMMYFUNCTION("""COMPUTED_VALUE"""),50985)</f>
        <v>50985</v>
      </c>
      <c r="D298" s="6"/>
      <c r="E298" s="8"/>
    </row>
    <row r="299" spans="1:5" ht="63.75">
      <c r="A299" s="5" t="str">
        <f ca="1">IFERROR(__xludf.DUMMYFUNCTION("""COMPUTED_VALUE"""),"ВК200 (кнопка) вариант А
Общепромышленное исполнение
АТФЕ.425411.152ТУ")</f>
        <v>ВК200 (кнопка) вариант А
Общепромышленное исполнение
АТФЕ.425411.152ТУ</v>
      </c>
      <c r="B299" s="6" t="str">
        <f ca="1">IFERROR(__xludf.DUMMYFUNCTION("""COMPUTED_VALUE"""),"Кнопка управления магнитогерконовая , НР. С выводом кабеля в металлорукаве (1м) через отверстие в основании корпуса (осевой) - для скрытой прокладки")</f>
        <v>Кнопка управления магнитогерконовая , НР. С выводом кабеля в металлорукаве (1м) через отверстие в основании корпуса (осевой) - для скрытой прокладки</v>
      </c>
      <c r="C299" s="9">
        <f ca="1">IFERROR(__xludf.DUMMYFUNCTION("""COMPUTED_VALUE"""),11640.2)</f>
        <v>11640.2</v>
      </c>
      <c r="D299" s="6"/>
      <c r="E299" s="8"/>
    </row>
    <row r="300" spans="1:5" ht="38.25">
      <c r="A300" s="5" t="str">
        <f ca="1">IFERROR(__xludf.DUMMYFUNCTION("""COMPUTED_VALUE"""),"ВК200 (кнопка) вариант В
Общепромышленное исполнение
АТФЕ.425411.152ТУ")</f>
        <v>ВК200 (кнопка) вариант В
Общепромышленное исполнение
АТФЕ.425411.152ТУ</v>
      </c>
      <c r="B300" s="6" t="str">
        <f ca="1">IFERROR(__xludf.DUMMYFUNCTION("""COMPUTED_VALUE"""),"Кнопка управления магнитогерконовая , НР. С радиальным выводом кабеля в металлорукаве")</f>
        <v>Кнопка управления магнитогерконовая , НР. С радиальным выводом кабеля в металлорукаве</v>
      </c>
      <c r="C300" s="9">
        <f ca="1">IFERROR(__xludf.DUMMYFUNCTION("""COMPUTED_VALUE"""),11640.2)</f>
        <v>11640.2</v>
      </c>
      <c r="D300" s="6"/>
      <c r="E300" s="8"/>
    </row>
    <row r="301" spans="1:5" ht="38.25">
      <c r="A301" s="5" t="str">
        <f ca="1">IFERROR(__xludf.DUMMYFUNCTION("""COMPUTED_VALUE"""),"ВК200 (кнопка) вариант K
Общепромышленное исполнение
АТФЕ.425411.152ТУ")</f>
        <v>ВК200 (кнопка) вариант K
Общепромышленное исполнение
АТФЕ.425411.152ТУ</v>
      </c>
      <c r="B301" s="6" t="str">
        <f ca="1">IFERROR(__xludf.DUMMYFUNCTION("""COMPUTED_VALUE"""),"Кнопка управления магнитогерконовая , НР. Врезной монтаж")</f>
        <v>Кнопка управления магнитогерконовая , НР. Врезной монтаж</v>
      </c>
      <c r="C301" s="9">
        <f ca="1">IFERROR(__xludf.DUMMYFUNCTION("""COMPUTED_VALUE"""),11640.2)</f>
        <v>11640.2</v>
      </c>
      <c r="D301" s="6"/>
      <c r="E301" s="8"/>
    </row>
    <row r="302" spans="1:5" ht="63.75">
      <c r="A302" s="5" t="str">
        <f ca="1">IFERROR(__xludf.DUMMYFUNCTION("""COMPUTED_VALUE"""),"Ех ВК200 (кнопка) вариант А
 0Ex ia IIC T6…Т5 Ga X / 1Ex mb IIC T6…Т5 Gb X 
АТФЕ.425411.152ТУ")</f>
        <v>Ех ВК200 (кнопка) вариант А
 0Ex ia IIC T6…Т5 Ga X / 1Ex mb IIC T6…Т5 Gb X 
АТФЕ.425411.152ТУ</v>
      </c>
      <c r="B302" s="6" t="str">
        <f ca="1">IFERROR(__xludf.DUMMYFUNCTION("""COMPUTED_VALUE"""),"Кнопка управления магнитогерконовая взрывозащищенная, НР. С выводом кабеля в металлорукаве (1м) через отверстие в основании корпуса (осевой) - для скрытой прокладки")</f>
        <v>Кнопка управления магнитогерконовая взрывозащищенная, НР. С выводом кабеля в металлорукаве (1м) через отверстие в основании корпуса (осевой) - для скрытой прокладки</v>
      </c>
      <c r="C302" s="9">
        <f ca="1">IFERROR(__xludf.DUMMYFUNCTION("""COMPUTED_VALUE"""),20450)</f>
        <v>20450</v>
      </c>
      <c r="D302" s="6"/>
      <c r="E302" s="8"/>
    </row>
    <row r="303" spans="1:5" ht="51">
      <c r="A303" s="5" t="str">
        <f ca="1">IFERROR(__xludf.DUMMYFUNCTION("""COMPUTED_VALUE"""),"Ех ВК200 (кнопка) вариант В
 0Ex ia IIC T6…Т5 Ga X / 1Ex mb IIC T6…Т5 Gb X 
АТФЕ.425411.152ТУ")</f>
        <v>Ех ВК200 (кнопка) вариант В
 0Ex ia IIC T6…Т5 Ga X / 1Ex mb IIC T6…Т5 Gb X 
АТФЕ.425411.152ТУ</v>
      </c>
      <c r="B303" s="6" t="str">
        <f ca="1">IFERROR(__xludf.DUMMYFUNCTION("""COMPUTED_VALUE"""),"Кнопка управления магнитогерконовая взрывозащищенная, НР. С радиальным выводом кабеля в металлорукаве 1м типа МРПИ-6")</f>
        <v>Кнопка управления магнитогерконовая взрывозащищенная, НР. С радиальным выводом кабеля в металлорукаве 1м типа МРПИ-6</v>
      </c>
      <c r="C303" s="9">
        <f ca="1">IFERROR(__xludf.DUMMYFUNCTION("""COMPUTED_VALUE"""),20450)</f>
        <v>20450</v>
      </c>
      <c r="D303" s="6"/>
      <c r="E303" s="8"/>
    </row>
    <row r="304" spans="1:5" ht="38.25">
      <c r="A304" s="5" t="str">
        <f ca="1">IFERROR(__xludf.DUMMYFUNCTION("""COMPUTED_VALUE"""),"Ех ВК200 (кнопка) вариант K
 0Ex ia IIC T6…Т5 Ga X / 1Ex mb IIC T6…Т5 Gb X 
АТФЕ.425411.152ТУ")</f>
        <v>Ех ВК200 (кнопка) вариант K
 0Ex ia IIC T6…Т5 Ga X / 1Ex mb IIC T6…Т5 Gb X 
АТФЕ.425411.152ТУ</v>
      </c>
      <c r="B304" s="6" t="str">
        <f ca="1">IFERROR(__xludf.DUMMYFUNCTION("""COMPUTED_VALUE"""),"Кнопка управления магнитогерконовая взрывозащищенная, НР. Врезной монтаж")</f>
        <v>Кнопка управления магнитогерконовая взрывозащищенная, НР. Врезной монтаж</v>
      </c>
      <c r="C304" s="9">
        <f ca="1">IFERROR(__xludf.DUMMYFUNCTION("""COMPUTED_VALUE"""),20450)</f>
        <v>20450</v>
      </c>
      <c r="D304" s="6"/>
      <c r="E304" s="8"/>
    </row>
    <row r="305" spans="1:5" ht="38.25">
      <c r="A305" s="5" t="str">
        <f ca="1">IFERROR(__xludf.DUMMYFUNCTION("""COMPUTED_VALUE"""),"Омагничиватель (умягчитель) жидкости «АЛАБАЙ-1» АТФЕ.752179.164 ТУ")</f>
        <v>Омагничиватель (умягчитель) жидкости «АЛАБАЙ-1» АТФЕ.752179.164 ТУ</v>
      </c>
      <c r="B305" s="6" t="str">
        <f ca="1">IFERROR(__xludf.DUMMYFUNCTION("""COMPUTED_VALUE"""),"для установки на трубы диаметром до 1 дюйма. Интенсивность поля в рабочей зоне не менее 100 мТл.")</f>
        <v>для установки на трубы диаметром до 1 дюйма. Интенсивность поля в рабочей зоне не менее 100 мТл.</v>
      </c>
      <c r="C305" s="9">
        <f ca="1">IFERROR(__xludf.DUMMYFUNCTION("""COMPUTED_VALUE"""),982)</f>
        <v>982</v>
      </c>
      <c r="D305" s="6"/>
      <c r="E305" s="8"/>
    </row>
    <row r="306" spans="1:5" ht="38.25">
      <c r="A306" s="5" t="str">
        <f ca="1">IFERROR(__xludf.DUMMYFUNCTION("""COMPUTED_VALUE"""),"Омагничиватель (умягчитель) жидкости «АЛАБАЙ-2» АТФЕ.752179.164 ТУ")</f>
        <v>Омагничиватель (умягчитель) жидкости «АЛАБАЙ-2» АТФЕ.752179.164 ТУ</v>
      </c>
      <c r="B306" s="6" t="str">
        <f ca="1">IFERROR(__xludf.DUMMYFUNCTION("""COMPUTED_VALUE"""),"для установки на трубы диаметром до 1½ дюйма. Интенсивность поля в рабочей зоне не менее 150 мТл.")</f>
        <v>для установки на трубы диаметром до 1½ дюйма. Интенсивность поля в рабочей зоне не менее 150 мТл.</v>
      </c>
      <c r="C306" s="9">
        <f ca="1">IFERROR(__xludf.DUMMYFUNCTION("""COMPUTED_VALUE"""),1094)</f>
        <v>1094</v>
      </c>
      <c r="D306" s="6"/>
      <c r="E306" s="8"/>
    </row>
    <row r="307" spans="1:5" ht="25.5">
      <c r="A307" s="5" t="str">
        <f ca="1">IFERROR(__xludf.DUMMYFUNCTION("""COMPUTED_VALUE"""),"Коробка распределительная КР60х60х30, IP65 (глухая) 
АТФЕ.685552.178")</f>
        <v>Коробка распределительная КР60х60х30, IP65 (глухая) 
АТФЕ.685552.178</v>
      </c>
      <c r="B307" s="6" t="str">
        <f ca="1">IFERROR(__xludf.DUMMYFUNCTION("""COMPUTED_VALUE"""),"Коробка распределительная глухая (без отверстий) из пластика")</f>
        <v>Коробка распределительная глухая (без отверстий) из пластика</v>
      </c>
      <c r="C307" s="9">
        <f ca="1">IFERROR(__xludf.DUMMYFUNCTION("""COMPUTED_VALUE"""),83.6)</f>
        <v>83.6</v>
      </c>
      <c r="D307" s="6"/>
      <c r="E307" s="8"/>
    </row>
    <row r="308" spans="1:5" ht="38.25">
      <c r="A308" s="5" t="str">
        <f ca="1">IFERROR(__xludf.DUMMYFUNCTION("""COMPUTED_VALUE"""),"Коробка распределительная КР60х60х30, IP65 (с 4-мя заглушками) 
АТФЕ.685552.178")</f>
        <v>Коробка распределительная КР60х60х30, IP65 (с 4-мя заглушками) 
АТФЕ.685552.178</v>
      </c>
      <c r="B308" s="6" t="str">
        <f ca="1">IFERROR(__xludf.DUMMYFUNCTION("""COMPUTED_VALUE"""),"Коробка распределительная (4 отверстия с герметичными заглушками) из пластика")</f>
        <v>Коробка распределительная (4 отверстия с герметичными заглушками) из пластика</v>
      </c>
      <c r="C308" s="9">
        <f ca="1">IFERROR(__xludf.DUMMYFUNCTION("""COMPUTED_VALUE"""),132)</f>
        <v>132</v>
      </c>
      <c r="D308" s="6"/>
      <c r="E308" s="8"/>
    </row>
    <row r="309" spans="1:5" ht="38.25">
      <c r="A309" s="5" t="str">
        <f ca="1">IFERROR(__xludf.DUMMYFUNCTION("""COMPUTED_VALUE"""),"Коробка распределительная КР60х60х30, IP65  (с 4-мя кабельными вводами ПКВ12х1.5) 
АТФЕ.685552.178")</f>
        <v>Коробка распределительная КР60х60х30, IP65  (с 4-мя кабельными вводами ПКВ12х1.5) 
АТФЕ.685552.178</v>
      </c>
      <c r="B309" s="6" t="str">
        <f ca="1">IFERROR(__xludf.DUMMYFUNCTION("""COMPUTED_VALUE"""),"Коробка распределительная с 4-мя герметичными кабельными вводами ПКВ12х1.5 из пластика")</f>
        <v>Коробка распределительная с 4-мя герметичными кабельными вводами ПКВ12х1.5 из пластика</v>
      </c>
      <c r="C309" s="9">
        <f ca="1">IFERROR(__xludf.DUMMYFUNCTION("""COMPUTED_VALUE"""),224.4)</f>
        <v>224.4</v>
      </c>
      <c r="D309" s="6"/>
      <c r="E309" s="8"/>
    </row>
    <row r="310" spans="1:5" ht="38.25">
      <c r="A310" s="5" t="str">
        <f ca="1">IFERROR(__xludf.DUMMYFUNCTION("""COMPUTED_VALUE"""),"Коробка распределительная КР60х60х30 с тампером, 7 контактов, IP65, (замена JB-720)
АТФЕ.685552.178")</f>
        <v>Коробка распределительная КР60х60х30 с тампером, 7 контактов, IP65, (замена JB-720)
АТФЕ.685552.178</v>
      </c>
      <c r="B310" s="6" t="str">
        <f ca="1">IFERROR(__xludf.DUMMYFUNCTION("""COMPUTED_VALUE"""),"Коробка распределительная глухая (без отверстий) из пластика, с тампером, клеммник на 7 пар контактов")</f>
        <v>Коробка распределительная глухая (без отверстий) из пластика, с тампером, клеммник на 7 пар контактов</v>
      </c>
      <c r="C310" s="9">
        <f ca="1">IFERROR(__xludf.DUMMYFUNCTION("""COMPUTED_VALUE"""),261.8)</f>
        <v>261.8</v>
      </c>
      <c r="D310" s="6"/>
      <c r="E310" s="8"/>
    </row>
    <row r="311" spans="1:5" ht="331.5">
      <c r="A311" s="5" t="str">
        <f ca="1">IFERROR(__xludf.DUMMYFUNCTION("""COMPUTED_VALUE"""),"""УППА ЛИГАРД""
  АТФЕ.425429.167 ТУ")</f>
        <v>"УППА ЛИГАРД"
  АТФЕ.425429.167 ТУ</v>
      </c>
      <c r="B311" s="6" t="str">
        <f ca="1">IFERROR(__xludf.DUMMYFUNCTION("""COMPUTED_VALUE"""),"""Устройство пожарное пусковое автономное """"УППА ЛИГАРД""""
  АТФЕ.425429.167 ТУ 
  предназначено для работы в составе автономных установок пожаротушения, запуск которых производится подачей пускового тока на электровоспламенитель модуля пожаротушения.
"&amp;"  Напряжение питание устройства от встроенного элемента питания. Устройство – изделие не ремонтируемое. Габариты 68x50 мм, IP20"" 
 Ток, потребляемый в дежурном режиме 0 мА.
  Ток, пропускаемый в режиме «КОНТРОЛЬ» через цепь электровоспламенителя, не боле"&amp;"е 1 мА.
  Температура срабатывания 1-го термореле (сигнал «ВНИМАНИЕ») 60° ± 5°С
  Температура срабатывания 2-го термореле (команда «ПУСК») 75° ± 5°С
  Уровень звукового давления встроенной сирены на расстоянии 1 м, не менее 50 дБ")</f>
        <v>"Устройство пожарное пусковое автономное ""УППА ЛИГАРД""
  АТФЕ.425429.167 ТУ 
  предназначено для работы в составе автономных установок пожаротушения, запуск которых производится подачей пускового тока на электровоспламенитель модуля пожаротушения.
  Напряжение питание устройства от встроенного элемента питания. Устройство – изделие не ремонтируемое. Габариты 68x50 мм, IP20" 
 Ток, потребляемый в дежурном режиме 0 мА.
  Ток, пропускаемый в режиме «КОНТРОЛЬ» через цепь электровоспламенителя, не более 1 мА.
  Температура срабатывания 1-го термореле (сигнал «ВНИМАНИЕ») 60° ± 5°С
  Температура срабатывания 2-го термореле (команда «ПУСК») 75° ± 5°С
  Уровень звукового давления встроенной сирены на расстоянии 1 м, не менее 50 дБ</v>
      </c>
      <c r="C311" s="9">
        <f ca="1">IFERROR(__xludf.DUMMYFUNCTION("""COMPUTED_VALUE"""),1988)</f>
        <v>1988</v>
      </c>
      <c r="D311" s="6"/>
      <c r="E311" s="8"/>
    </row>
    <row r="312" spans="1:5" ht="140.25">
      <c r="A312" s="5" t="str">
        <f ca="1">IFERROR(__xludf.DUMMYFUNCTION("""COMPUTED_VALUE"""),"Корпус для РЭА универсальный, 195х80х75 АТФЕ.685552.003 ТУ")</f>
        <v>Корпус для РЭА универсальный, 195х80х75 АТФЕ.685552.003 ТУ</v>
      </c>
      <c r="B312" s="6" t="str">
        <f ca="1">IFERROR(__xludf.DUMMYFUNCTION("""COMPUTED_VALUE"""),"Корпус для РЭА универсальный предназначен для монтажа и установки радиоэлектронной аппаратуры. Степень защиты - IP66/IP67 по ГОСТ 14254.
Корпус выполнен из ударопрочного ABS пластика или полиамида, устойчив к перепадам температур и ультрафиолету. По треб"&amp;"ования потребителя цветовая гамма и материал корпуса могут быть любыми.")</f>
        <v>Корпус для РЭА универсальный предназначен для монтажа и установки радиоэлектронной аппаратуры. Степень защиты - IP66/IP67 по ГОСТ 14254.
Корпус выполнен из ударопрочного ABS пластика или полиамида, устойчив к перепадам температур и ультрафиолету. По требования потребителя цветовая гамма и материал корпуса могут быть любыми.</v>
      </c>
      <c r="C312" s="9">
        <f ca="1">IFERROR(__xludf.DUMMYFUNCTION("""COMPUTED_VALUE"""),814)</f>
        <v>814</v>
      </c>
      <c r="D312" s="6"/>
      <c r="E312" s="8"/>
    </row>
    <row r="313" spans="1:5" ht="165.75">
      <c r="A313" s="5" t="str">
        <f ca="1">IFERROR(__xludf.DUMMYFUNCTION("""COMPUTED_VALUE"""),"Ex УС-2 
1Еx db IIC T6…T5 Gb / 0Еx ia IIC T6…T5 Ga
АТФЕ.685552.154 ")</f>
        <v xml:space="preserve">Ex УС-2 
1Еx db IIC T6…T5 Gb / 0Еx ia IIC T6…T5 Ga
АТФЕ.685552.154 </v>
      </c>
      <c r="B313" s="6" t="str">
        <f ca="1">IFERROR(__xludf.DUMMYFUNCTION("""COMPUTED_VALUE"""),"Устройство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"&amp;"заказе. Устройство Ех УС-2 комплектуются пластиковыми клемниками с диаметром подключаемого кабеля от 2.5 мм2 до 10 мм2. Количество клеммных пар - 8. IP66/IP68")</f>
        <v>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заказе. Устройство Ех УС-2 комплектуются пластиковыми клемниками с диаметром подключаемого кабеля от 2.5 мм2 до 10 мм2. Количество клеммных пар - 8. IP66/IP68</v>
      </c>
      <c r="C313" s="9">
        <f ca="1">IFERROR(__xludf.DUMMYFUNCTION("""COMPUTED_VALUE"""),13685)</f>
        <v>13685</v>
      </c>
      <c r="D313" s="6"/>
      <c r="E313" s="8"/>
    </row>
    <row r="314" spans="1:5" ht="165.75">
      <c r="A314" s="5" t="str">
        <f ca="1">IFERROR(__xludf.DUMMYFUNCTION("""COMPUTED_VALUE"""),"Ex УС-2М
1Еx db IIC T6…T5 Gb / 0Еx ia IIC T6…T5 Ga
АТФЕ.685552.154")</f>
        <v>Ex УС-2М
1Еx db IIC T6…T5 Gb / 0Еx ia IIC T6…T5 Ga
АТФЕ.685552.154</v>
      </c>
      <c r="B314" s="6" t="str">
        <f ca="1">IFERROR(__xludf.DUMMYFUNCTION("""COMPUTED_VALUE"""),"Устройство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"&amp;"заказе. Устройство Ех УС-2 комплектуются пластиковыми клемниками с диаметром подключаемого кабеля от 2.5 мм2 до 10 мм2. Количество клеммных пар - 8. IP66/IP68. С крепежной площадкой")</f>
        <v>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заказе. Устройство Ех УС-2 комплектуются пластиковыми клемниками с диаметром подключаемого кабеля от 2.5 мм2 до 10 мм2. Количество клеммных пар - 8. IP66/IP68. С крепежной площадкой</v>
      </c>
      <c r="C314" s="9">
        <f ca="1">IFERROR(__xludf.DUMMYFUNCTION("""COMPUTED_VALUE"""),14628)</f>
        <v>14628</v>
      </c>
      <c r="D314" s="6"/>
      <c r="E314" s="8"/>
    </row>
    <row r="315" spans="1:5" ht="63.75">
      <c r="A315" s="5" t="str">
        <f ca="1">IFERROR(__xludf.DUMMYFUNCTION("""COMPUTED_VALUE"""),"Ex-коробка металлическая «СЕВЕРЛЕНД» (Под 1 кабельный ввод или Ех заглушку)
 1Еx d IIC T6…T5 Gb
АТФЕ.685552.153 ")</f>
        <v xml:space="preserve">Ex-коробка металлическая «СЕВЕРЛЕНД» (Под 1 кабельный ввод или Ех заглушку)
 1Еx d IIC T6…T5 Gb
АТФЕ.685552.153 </v>
      </c>
      <c r="B315" s="6" t="str">
        <f ca="1">IFERROR(__xludf.DUMMYFUNCTION("""COMPUTED_VALUE"""),"117 х 117 х 85мм. IP66/IP68. Комплектуются пластиковыми клеммниками (14 пар клемм). 
Под 1 кабельный ввод или Ех заглушку (приобретаются отдельно).")</f>
        <v>117 х 117 х 85мм. IP66/IP68. Комплектуются пластиковыми клеммниками (14 пар клемм). 
Под 1 кабельный ввод или Ех заглушку (приобретаются отдельно).</v>
      </c>
      <c r="C315" s="9">
        <f ca="1">IFERROR(__xludf.DUMMYFUNCTION("""COMPUTED_VALUE"""),3410)</f>
        <v>3410</v>
      </c>
      <c r="D315" s="6"/>
      <c r="E315" s="8"/>
    </row>
    <row r="316" spans="1:5" ht="63.75">
      <c r="A316" s="5" t="str">
        <f ca="1">IFERROR(__xludf.DUMMYFUNCTION("""COMPUTED_VALUE"""),"Ex-коробка металлическая «СЕВЕРЛЕНД» П (""Проходная"". Под 2 кабельных ввода или Ех заглушки)
 1Еx d IIC T6…T5 Gb
 АТФЕ.685552.153")</f>
        <v>Ex-коробка металлическая «СЕВЕРЛЕНД» П ("Проходная". Под 2 кабельных ввода или Ех заглушки)
 1Еx d IIC T6…T5 Gb
 АТФЕ.685552.153</v>
      </c>
      <c r="B316" s="6" t="str">
        <f ca="1">IFERROR(__xludf.DUMMYFUNCTION("""COMPUTED_VALUE"""),"117 х 117 х 85мм. IP66/IP68. Комплектуются пластиковыми клеммниками (14 пар клемм).
""Проходная"". Под 2 кабельных ввода или Ех заглушки (приобретаются отдельно).")</f>
        <v>117 х 117 х 85мм. IP66/IP68. Комплектуются пластиковыми клеммниками (14 пар клемм).
"Проходная". Под 2 кабельных ввода или Ех заглушки (приобретаются отдельно).</v>
      </c>
      <c r="C316" s="9">
        <f ca="1">IFERROR(__xludf.DUMMYFUNCTION("""COMPUTED_VALUE"""),3410)</f>
        <v>3410</v>
      </c>
      <c r="D316" s="6"/>
      <c r="E316" s="8"/>
    </row>
    <row r="317" spans="1:5" ht="63.75">
      <c r="A317" s="5" t="str">
        <f ca="1">IFERROR(__xludf.DUMMYFUNCTION("""COMPUTED_VALUE"""),"Ex-коробка металлическая «СЕВЕРЛЕНД» У  (""Угловая"". Под 2 кабельных ввода или Ех заглушки)
 1Еx d IIC T6…T5 Gb
АТФЕ.685552.153")</f>
        <v>Ex-коробка металлическая «СЕВЕРЛЕНД» У  ("Угловая". Под 2 кабельных ввода или Ех заглушки)
 1Еx d IIC T6…T5 Gb
АТФЕ.685552.153</v>
      </c>
      <c r="B317" s="6" t="str">
        <f ca="1">IFERROR(__xludf.DUMMYFUNCTION("""COMPUTED_VALUE"""),"117 х 117 х 85мм. IP66/IP68.Комплектуются пластиковыми клеммниками (14 пар клемм). 
""Угловая"". Под 2 кабельных ввода или Ех заглушки (приобретаются отдельно).")</f>
        <v>117 х 117 х 85мм. IP66/IP68.Комплектуются пластиковыми клеммниками (14 пар клемм). 
"Угловая". Под 2 кабельных ввода или Ех заглушки (приобретаются отдельно).</v>
      </c>
      <c r="C317" s="9">
        <f ca="1">IFERROR(__xludf.DUMMYFUNCTION("""COMPUTED_VALUE"""),3410)</f>
        <v>3410</v>
      </c>
      <c r="D317" s="6"/>
      <c r="E317" s="8"/>
    </row>
    <row r="318" spans="1:5" ht="76.5">
      <c r="A318" s="5" t="str">
        <f ca="1">IFERROR(__xludf.DUMMYFUNCTION("""COMPUTED_VALUE"""),"Ex-коробка металлическая «СЕВЕРЛЕНД» Т (""Тройниковая"". Под 3 кабельных ввода или Ех заглушки)
 1Еx d IIC T6…T5 Gb
АТФЕ.685552.153")</f>
        <v>Ex-коробка металлическая «СЕВЕРЛЕНД» Т ("Тройниковая". Под 3 кабельных ввода или Ех заглушки)
 1Еx d IIC T6…T5 Gb
АТФЕ.685552.153</v>
      </c>
      <c r="B318" s="6" t="str">
        <f ca="1">IFERROR(__xludf.DUMMYFUNCTION("""COMPUTED_VALUE"""),"117 х 117 х 85мм. IP66/IP68. Комплектуются пластиковыми клеммниками (14 пар клемм). 
""Тройниковая"". Под 3 кабельных ввода или Ех заглушки (приобретаются отдельно).")</f>
        <v>117 х 117 х 85мм. IP66/IP68. Комплектуются пластиковыми клеммниками (14 пар клемм). 
"Тройниковая". Под 3 кабельных ввода или Ех заглушки (приобретаются отдельно).</v>
      </c>
      <c r="C318" s="9">
        <f ca="1">IFERROR(__xludf.DUMMYFUNCTION("""COMPUTED_VALUE"""),3652)</f>
        <v>3652</v>
      </c>
      <c r="D318" s="6"/>
      <c r="E318" s="8"/>
    </row>
    <row r="319" spans="1:5" ht="63.75">
      <c r="A319" s="5" t="str">
        <f ca="1">IFERROR(__xludf.DUMMYFUNCTION("""COMPUTED_VALUE"""),"Ex-коробка металлическая «СЕВЕРЛЕНД» К (""Крестовая"". Под 4 кабельных ввода или Ех заглушки)
 1Еx d IIC T6…T5 Gb
АТФЕ.685552.153")</f>
        <v>Ex-коробка металлическая «СЕВЕРЛЕНД» К ("Крестовая". Под 4 кабельных ввода или Ех заглушки)
 1Еx d IIC T6…T5 Gb
АТФЕ.685552.153</v>
      </c>
      <c r="B319" s="6" t="str">
        <f ca="1">IFERROR(__xludf.DUMMYFUNCTION("""COMPUTED_VALUE"""),"117 х 117 х 85мм. IP66/IP68. Комплектуются пластиковыми клеммниками (14 пар клемм). 
""Крестовая"". Под 4 кабельных ввода или Ех заглушки(приобретаются отдельно).")</f>
        <v>117 х 117 х 85мм. IP66/IP68. Комплектуются пластиковыми клеммниками (14 пар клемм). 
"Крестовая". Под 4 кабельных ввода или Ех заглушки(приобретаются отдельно).</v>
      </c>
      <c r="C319" s="9">
        <f ca="1">IFERROR(__xludf.DUMMYFUNCTION("""COMPUTED_VALUE"""),3894)</f>
        <v>3894</v>
      </c>
      <c r="D319" s="6"/>
      <c r="E319" s="8"/>
    </row>
    <row r="320" spans="1:5" ht="63.75">
      <c r="A320" s="5" t="str">
        <f ca="1">IFERROR(__xludf.DUMMYFUNCTION("""COMPUTED_VALUE"""),"Ex-коробка металлическая «СЕВЕРЛЕНД» (Под 1 кабельный ввод или Ех заглушку) керамические клеммники
 1Еx d IIC T6…T5 Gb
АТФЕ.685552.153")</f>
        <v>Ex-коробка металлическая «СЕВЕРЛЕНД» (Под 1 кабельный ввод или Ех заглушку) керамические клеммники
 1Еx d IIC T6…T5 Gb
АТФЕ.685552.153</v>
      </c>
      <c r="B320" s="6" t="str">
        <f ca="1">IFERROR(__xludf.DUMMYFUNCTION("""COMPUTED_VALUE"""),"117 х 117 х 85мм. IP66/IP68. Комплектуются керамическими клеммниками (8 пар клемм). 
Под 1 кабельный ввод или Ех заглушку (приобретаются отдельно).")</f>
        <v>117 х 117 х 85мм. IP66/IP68. Комплектуются керамическими клеммниками (8 пар клемм). 
Под 1 кабельный ввод или Ех заглушку (приобретаются отдельно).</v>
      </c>
      <c r="C320" s="9">
        <f ca="1">IFERROR(__xludf.DUMMYFUNCTION("""COMPUTED_VALUE"""),3630)</f>
        <v>3630</v>
      </c>
      <c r="D320" s="6"/>
      <c r="E320" s="8"/>
    </row>
    <row r="321" spans="1:5" ht="63.75">
      <c r="A321" s="5" t="str">
        <f ca="1">IFERROR(__xludf.DUMMYFUNCTION("""COMPUTED_VALUE"""),"Ex-коробка металлическая «СЕВЕРЛЕНД» П (""Проходная"". Под 2 кабельных ввода или Ех заглушки) керамические клеммники
 1Еx d IIC T6…T5 Gb
АТФЕ.685552.153")</f>
        <v>Ex-коробка металлическая «СЕВЕРЛЕНД» П ("Проходная". Под 2 кабельных ввода или Ех заглушки) керамические клеммники
 1Еx d IIC T6…T5 Gb
АТФЕ.685552.153</v>
      </c>
      <c r="B321" s="6" t="str">
        <f ca="1">IFERROR(__xludf.DUMMYFUNCTION("""COMPUTED_VALUE"""),"117 х 117 х 85мм. IP66/IP68. Комплектуются керамическими клеммниками (8 пар клемм).
""Проходная"". Под 2 кабельных ввода или Ех заглушки (приобретаются отдельно).")</f>
        <v>117 х 117 х 85мм. IP66/IP68. Комплектуются керамическими клеммниками (8 пар клемм).
"Проходная". Под 2 кабельных ввода или Ех заглушки (приобретаются отдельно).</v>
      </c>
      <c r="C321" s="9">
        <f ca="1">IFERROR(__xludf.DUMMYFUNCTION("""COMPUTED_VALUE"""),3663)</f>
        <v>3663</v>
      </c>
      <c r="D321" s="6"/>
      <c r="E321" s="8"/>
    </row>
    <row r="322" spans="1:5" ht="63.75">
      <c r="A322" s="5" t="str">
        <f ca="1">IFERROR(__xludf.DUMMYFUNCTION("""COMPUTED_VALUE"""),"Ex-коробка металлическая «СЕВЕРЛЕНД» У  (""Угловая"". Под 2 кабельных ввода или Ех заглушки) керамические клеммники
 1Еx d IIC T6…T5 Gb
АТФЕ.685552.153")</f>
        <v>Ex-коробка металлическая «СЕВЕРЛЕНД» У  ("Угловая". Под 2 кабельных ввода или Ех заглушки) керамические клеммники
 1Еx d IIC T6…T5 Gb
АТФЕ.685552.153</v>
      </c>
      <c r="B322" s="6" t="str">
        <f ca="1">IFERROR(__xludf.DUMMYFUNCTION("""COMPUTED_VALUE"""),"117 х 117 х 85мм. IP66/IP68. Комплектуются керамическими клеммниками (8 пар клемм). 
""Угловая"". Под 2 кабельных ввода или Ех заглушки (приобретаются отдельно).")</f>
        <v>117 х 117 х 85мм. IP66/IP68. Комплектуются керамическими клеммниками (8 пар клемм). 
"Угловая". Под 2 кабельных ввода или Ех заглушки (приобретаются отдельно).</v>
      </c>
      <c r="C322" s="9">
        <f ca="1">IFERROR(__xludf.DUMMYFUNCTION("""COMPUTED_VALUE"""),3663)</f>
        <v>3663</v>
      </c>
      <c r="D322" s="6"/>
      <c r="E322" s="8"/>
    </row>
    <row r="323" spans="1:5" ht="76.5">
      <c r="A323" s="5" t="str">
        <f ca="1">IFERROR(__xludf.DUMMYFUNCTION("""COMPUTED_VALUE"""),"Ex-коробка металлическая «СЕВЕРЛЕНД» Т (""Тройниковая"". Под 3 кабельных ввода или Ех заглушки) керамические клеммники
 1Еx d IIC T6…T5 Gb
АТФЕ.685552.153")</f>
        <v>Ex-коробка металлическая «СЕВЕРЛЕНД» Т ("Тройниковая". Под 3 кабельных ввода или Ех заглушки) керамические клеммники
 1Еx d IIC T6…T5 Gb
АТФЕ.685552.153</v>
      </c>
      <c r="B323" s="6" t="str">
        <f ca="1">IFERROR(__xludf.DUMMYFUNCTION("""COMPUTED_VALUE"""),"117 х 117 х 85мм. IP66/IP68. Комплектуются керамическими клеммниками (8 пар клемм). 
""Тройниковая"". Под 3 кабельных ввода или Ех заглушки (приобретаются отдельно).")</f>
        <v>117 х 117 х 85мм. IP66/IP68. Комплектуются керамическими клеммниками (8 пар клемм). 
"Тройниковая". Под 3 кабельных ввода или Ех заглушки (приобретаются отдельно).</v>
      </c>
      <c r="C323" s="9">
        <f ca="1">IFERROR(__xludf.DUMMYFUNCTION("""COMPUTED_VALUE"""),3872)</f>
        <v>3872</v>
      </c>
      <c r="D323" s="6"/>
      <c r="E323" s="8"/>
    </row>
    <row r="324" spans="1:5" ht="63.75">
      <c r="A324" s="5" t="str">
        <f ca="1">IFERROR(__xludf.DUMMYFUNCTION("""COMPUTED_VALUE"""),"Ex-коробка металлическая «СЕВЕРЛЕНД» К (""Крестовая"". Под 4 кабельных ввода или Ех заглушки) керамические клеммники
 1Еx d IIC T6…T5 Gb
АТФЕ.685552.153")</f>
        <v>Ex-коробка металлическая «СЕВЕРЛЕНД» К ("Крестовая". Под 4 кабельных ввода или Ех заглушки) керамические клеммники
 1Еx d IIC T6…T5 Gb
АТФЕ.685552.153</v>
      </c>
      <c r="B324" s="6" t="str">
        <f ca="1">IFERROR(__xludf.DUMMYFUNCTION("""COMPUTED_VALUE"""),"117 х 117 х 85мм. IP66/IP68. Комплектуются керамическими клеммниками (8 пар клемм). 
""Крестовая"". Под 4 кабельных ввода или Ех заглушки(приобретаются отдельно).")</f>
        <v>117 х 117 х 85мм. IP66/IP68. Комплектуются керамическими клеммниками (8 пар клемм). 
"Крестовая". Под 4 кабельных ввода или Ех заглушки(приобретаются отдельно).</v>
      </c>
      <c r="C324" s="9">
        <f ca="1">IFERROR(__xludf.DUMMYFUNCTION("""COMPUTED_VALUE"""),4114)</f>
        <v>4114</v>
      </c>
      <c r="D324" s="6"/>
      <c r="E324" s="8"/>
    </row>
    <row r="325" spans="1:5" ht="102">
      <c r="A325" s="5" t="str">
        <f ca="1">IFERROR(__xludf.DUMMYFUNCTION("""COMPUTED_VALUE"""),"Ех-коробка металлическая «СЕВЕРЛЕНД» П, ВН20 + ВН20")</f>
        <v>Ех-коробка металлическая «СЕВЕРЛЕНД» П, ВН20 + ВН20</v>
      </c>
      <c r="B325" s="6" t="str">
        <f ca="1">IFERROR(__xludf.DUMMYFUNCTION("""COMPUTED_VALUE"""),"""Проходная""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"Проходная"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5" s="9">
        <f ca="1">IFERROR(__xludf.DUMMYFUNCTION("""COMPUTED_VALUE"""),4800)</f>
        <v>4800</v>
      </c>
      <c r="D325" s="6"/>
      <c r="E325" s="8"/>
    </row>
    <row r="326" spans="1:5" ht="114.75">
      <c r="A326" s="5" t="str">
        <f ca="1">IFERROR(__xludf.DUMMYFUNCTION("""COMPUTED_VALUE"""),"Ех-коробка металлическая «СЕВЕРЛЕНД» П, МКВМ М20 + МКВМ М20")</f>
        <v>Ех-коробка металлическая «СЕВЕРЛЕНД» П, МКВМ М20 + МКВМ М20</v>
      </c>
      <c r="B326" s="6" t="str">
        <f ca="1">IFERROR(__xludf.DUMMYFUNCTION("""COMPUTED_VALUE"""),"""Проходная""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клеммника"&amp;"ми (14 пар клемм).")</f>
        <v>"Проходная"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6" s="9">
        <f ca="1">IFERROR(__xludf.DUMMYFUNCTION("""COMPUTED_VALUE"""),10200)</f>
        <v>10200</v>
      </c>
      <c r="D326" s="6"/>
      <c r="E326" s="8"/>
    </row>
    <row r="327" spans="1:5" ht="89.25">
      <c r="A327" s="5" t="str">
        <f ca="1">IFERROR(__xludf.DUMMYFUNCTION("""COMPUTED_VALUE"""),"Ех-коробка металлическая «СЕВЕРЛЕНД» У, ВН20 + ВН20")</f>
        <v>Ех-коробка металлическая «СЕВЕРЛЕНД» У, ВН20 + ВН20</v>
      </c>
      <c r="B327" s="6" t="str">
        <f ca="1">IFERROR(__xludf.DUMMYFUNCTION("""COMPUTED_VALUE"""),"""Угловая""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"Угловая"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7" s="9">
        <f ca="1">IFERROR(__xludf.DUMMYFUNCTION("""COMPUTED_VALUE"""),4800)</f>
        <v>4800</v>
      </c>
      <c r="D327" s="6"/>
      <c r="E327" s="8"/>
    </row>
    <row r="328" spans="1:5" ht="102">
      <c r="A328" s="5" t="str">
        <f ca="1">IFERROR(__xludf.DUMMYFUNCTION("""COMPUTED_VALUE"""),"Ех-коробка металлическая «СЕВЕРЛЕНД» У, МКВМ М20 + МКВМ М20")</f>
        <v>Ех-коробка металлическая «СЕВЕРЛЕНД» У, МКВМ М20 + МКВМ М20</v>
      </c>
      <c r="B328" s="6" t="str">
        <f ca="1">IFERROR(__xludf.DUMMYFUNCTION("""COMPUTED_VALUE"""),"""Угловая""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клеммниками"&amp;" (14 пар клемм).")</f>
        <v>"Угловая"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8" s="9">
        <f ca="1">IFERROR(__xludf.DUMMYFUNCTION("""COMPUTED_VALUE"""),10200)</f>
        <v>10200</v>
      </c>
      <c r="D328" s="6"/>
      <c r="E328" s="8"/>
    </row>
    <row r="329" spans="1:5" ht="102">
      <c r="A329" s="5" t="str">
        <f ca="1">IFERROR(__xludf.DUMMYFUNCTION("""COMPUTED_VALUE"""),"Ех-коробка металлическая «СЕВЕРЛЕНД» Т, ВН20 + ВН20 + ВН20")</f>
        <v>Ех-коробка металлическая «СЕВЕРЛЕНД» Т, ВН20 + ВН20 + ВН20</v>
      </c>
      <c r="B329" s="6" t="str">
        <f ca="1">IFERROR(__xludf.DUMMYFUNCTION("""COMPUTED_VALUE"""),"""Тройниковая"" Ех-коробка укомплектованныя тремя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"Тройниковая" Ех-коробка укомплектованныя тремя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9" s="9">
        <f ca="1">IFERROR(__xludf.DUMMYFUNCTION("""COMPUTED_VALUE"""),5800)</f>
        <v>5800</v>
      </c>
      <c r="D329" s="6"/>
      <c r="E329" s="8"/>
    </row>
    <row r="330" spans="1:5" ht="114.75">
      <c r="A330" s="5" t="str">
        <f ca="1">IFERROR(__xludf.DUMMYFUNCTION("""COMPUTED_VALUE"""),"Ех-коробка металлическая «СЕВЕРЛЕНД» Т, МКВМ М20 + МКВМ М20 + МКВМ М20")</f>
        <v>Ех-коробка металлическая «СЕВЕРЛЕНД» Т, МКВМ М20 + МКВМ М20 + МКВМ М20</v>
      </c>
      <c r="B330" s="6" t="str">
        <f ca="1">IFERROR(__xludf.DUMMYFUNCTION("""COMPUTED_VALUE"""),"""Тройниковая"" Ех-коробка укомплектованныя тремя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клеммни"&amp;"ками (14 пар клемм).")</f>
        <v>"Тройниковая" Ех-коробка укомплектованныя тремя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30" s="9">
        <f ca="1">IFERROR(__xludf.DUMMYFUNCTION("""COMPUTED_VALUE"""),14400)</f>
        <v>14400</v>
      </c>
      <c r="D330" s="6"/>
      <c r="E330" s="8"/>
    </row>
    <row r="331" spans="1:5" ht="102">
      <c r="A331" s="5" t="str">
        <f ca="1">IFERROR(__xludf.DUMMYFUNCTION("""COMPUTED_VALUE"""),"Ех-коробка металлическая «СЕВЕРЛЕНД» К, ВН20 + ВН20 + ВН20 +ВН20")</f>
        <v>Ех-коробка металлическая «СЕВЕРЛЕНД» К, ВН20 + ВН20 + ВН20 +ВН20</v>
      </c>
      <c r="B331" s="6" t="str">
        <f ca="1">IFERROR(__xludf.DUMMYFUNCTION("""COMPUTED_VALUE"""),"""Крестовая"" Ех-коробка укомплектованныя четырьмя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"Крестовая" Ех-коробка укомплектованныя четырьмя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31" s="9">
        <f ca="1">IFERROR(__xludf.DUMMYFUNCTION("""COMPUTED_VALUE"""),6700)</f>
        <v>6700</v>
      </c>
      <c r="D331" s="6"/>
      <c r="E331" s="8"/>
    </row>
    <row r="332" spans="1:5" ht="114.75">
      <c r="A332" s="5" t="str">
        <f ca="1">IFERROR(__xludf.DUMMYFUNCTION("""COMPUTED_VALUE"""),"Ех-коробка металлическая «СЕВЕРЛЕНД» К, МКВМ М20 + МКВМ М20 + МКВМ М20 + МКВМ М20")</f>
        <v>Ех-коробка металлическая «СЕВЕРЛЕНД» К, МКВМ М20 + МКВМ М20 + МКВМ М20 + МКВМ М20</v>
      </c>
      <c r="B332" s="6" t="str">
        <f ca="1">IFERROR(__xludf.DUMMYFUNCTION("""COMPUTED_VALUE"""),"""Крестовая"" Ех-коробка укомплектованныя четырьмя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клеммн"&amp;"иками (14 пар клемм).")</f>
        <v>"Крестовая" Ех-коробка укомплектованныя четырьмя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32" s="9">
        <f ca="1">IFERROR(__xludf.DUMMYFUNCTION("""COMPUTED_VALUE"""),18600)</f>
        <v>18600</v>
      </c>
      <c r="D332" s="6"/>
      <c r="E332" s="8"/>
    </row>
    <row r="333" spans="1:5" ht="76.5">
      <c r="A333" s="5" t="str">
        <f ca="1">IFERROR(__xludf.DUMMYFUNCTION("""COMPUTED_VALUE"""),"Ех-заглушка ВЗ 01 М Н (под Ø 16)
1Ex d IIС Gb/PB Ex d I Mb или Ex tb IIIС Db или 0Ex ia IIC Ga или 1Ex e IIС Gb ")</f>
        <v xml:space="preserve">Ех-заглушка ВЗ 01 М Н (под Ø 16)
1Ex d IIС Gb/PB Ex d I Mb или Ex tb IIIС Db или 0Ex ia IIC Ga или 1Ex e IIС Gb </v>
      </c>
      <c r="B333" s="6" t="str">
        <f ca="1">IFERROR(__xludf.DUMMYFUNCTION("""COMPUTED_VALUE"""),"Для закрытия неиспользуемых отверстий в корпусах взрывозащищённого оборудования под Ø 16, тип резьбы - метрическая. Степень защиты оболочки вводов – IP66/ IP68. Нержавеющая сталь. Резьба М16х1,5.")</f>
        <v>Для закрытия неиспользуемых отверстий в корпусах взрывозащищённого оборудования под Ø 16, тип резьбы - метрическая. Степень защиты оболочки вводов – IP66/ IP68. Нержавеющая сталь. Резьба М16х1,5.</v>
      </c>
      <c r="C333" s="9">
        <f ca="1">IFERROR(__xludf.DUMMYFUNCTION("""COMPUTED_VALUE"""),986.271)</f>
        <v>986.27099999999996</v>
      </c>
      <c r="D333" s="6"/>
      <c r="E333" s="8"/>
    </row>
    <row r="334" spans="1:5" ht="76.5">
      <c r="A334" s="5" t="str">
        <f ca="1">IFERROR(__xludf.DUMMYFUNCTION("""COMPUTED_VALUE"""),"Ех-заглушка ВЗ 1 М Н (под Ø 20)
1Ex d IIС Gb/PB Ex d I Mb или 
  Ex tb IIIС Db или 0Ex ia IIC Ga или 1Ex e IIС Gb")</f>
        <v>Ех-заглушка ВЗ 1 М Н (под Ø 20)
1Ex d IIС Gb/PB Ex d I Mb или 
  Ex tb IIIС Db или 0Ex ia IIC Ga или 1Ex e IIС Gb</v>
      </c>
      <c r="B334" s="6" t="str">
        <f ca="1">IFERROR(__xludf.DUMMYFUNCTION("""COMPUTED_VALUE"""),"Для закрытия неиспользуемых отверстий в корпусах взрывозащищённого оборудования под Ø 20, тип резьбы - метрическая. Степень защиты оболочки вводов – IP66/ IP68. Нержавеющая сталь. Резьба М20х1,5.")</f>
        <v>Для закрытия неиспользуемых отверстий в корпусах взрывозащищённого оборудования под Ø 20, тип резьбы - метрическая. Степень защиты оболочки вводов – IP66/ IP68. Нержавеющая сталь. Резьба М20х1,5.</v>
      </c>
      <c r="C334" s="9">
        <f ca="1">IFERROR(__xludf.DUMMYFUNCTION("""COMPUTED_VALUE"""),1017.412)</f>
        <v>1017.412</v>
      </c>
      <c r="D334" s="6"/>
      <c r="E334" s="8"/>
    </row>
    <row r="335" spans="1:5" ht="76.5">
      <c r="A335" s="5" t="str">
        <f ca="1">IFERROR(__xludf.DUMMYFUNCTION("""COMPUTED_VALUE"""),"Ех-заглушка ВЗ 2 М Н (под Ø 25)
1Ex d IIС Gb/PB Ex d I Mb или 
  Ex tb IIIС Db или 0Ex ia IIC Ga или 1Ex e IIС Gb")</f>
        <v>Ех-заглушка ВЗ 2 М Н (под Ø 25)
1Ex d IIС Gb/PB Ex d I Mb или 
  Ex tb IIIС Db или 0Ex ia IIC Ga или 1Ex e IIС Gb</v>
      </c>
      <c r="B335" s="6" t="str">
        <f ca="1">IFERROR(__xludf.DUMMYFUNCTION("""COMPUTED_VALUE"""),"Для закрытия неиспользуемых отверстий в корпусах взрывозащищённого оборудования под Ø 25, тип резьбы - метрическая. Степень защиты оболочки вводов – IP66/ IP68. Нержавеющая сталь. Резьба М25х1,5.")</f>
        <v>Для закрытия неиспользуемых отверстий в корпусах взрывозащищённого оборудования под Ø 25, тип резьбы - метрическая. Степень защиты оболочки вводов – IP66/ IP68. Нержавеющая сталь. Резьба М25х1,5.</v>
      </c>
      <c r="C335" s="9">
        <f ca="1">IFERROR(__xludf.DUMMYFUNCTION("""COMPUTED_VALUE"""),1287.341)</f>
        <v>1287.3409999999999</v>
      </c>
      <c r="D335" s="6"/>
      <c r="E335" s="8"/>
    </row>
    <row r="336" spans="1:5" ht="76.5">
      <c r="A336" s="5" t="str">
        <f ca="1">IFERROR(__xludf.DUMMYFUNCTION("""COMPUTED_VALUE"""),"Ех-заглушка ВЗ 3 М Н  (под Ø 32)
1Ex d IIС Gb/PB Ex d I Mb или 
  Ex tb IIIС Db или 0Ex ia IIC Ga или 1Ex e IIС Gb")</f>
        <v>Ех-заглушка ВЗ 3 М Н  (под Ø 32)
1Ex d IIС Gb/PB Ex d I Mb или 
  Ex tb IIIС Db или 0Ex ia IIC Ga или 1Ex e IIС Gb</v>
      </c>
      <c r="B336" s="6" t="str">
        <f ca="1">IFERROR(__xludf.DUMMYFUNCTION("""COMPUTED_VALUE"""),"Для закрытия неиспользуемых отверстий в корпусах взрывозащищённого оборудования под Ø 32, тип резьбы - метрическая. Степень защиты оболочки вводов – IP66/ IP68. Нержавеющая сталь. Резьба М32х1,5.")</f>
        <v>Для закрытия неиспользуемых отверстий в корпусах взрывозащищённого оборудования под Ø 32, тип резьбы - метрическая. Степень защиты оболочки вводов – IP66/ IP68. Нержавеющая сталь. Резьба М32х1,5.</v>
      </c>
      <c r="C336" s="9">
        <f ca="1">IFERROR(__xludf.DUMMYFUNCTION("""COMPUTED_VALUE"""),1474.22)</f>
        <v>1474.22</v>
      </c>
      <c r="D336" s="6"/>
      <c r="E336" s="8"/>
    </row>
    <row r="337" spans="1:5" ht="63.75">
      <c r="A337" s="5" t="str">
        <f ca="1">IFERROR(__xludf.DUMMYFUNCTION("""COMPUTED_VALUE"""),"Ех-заглушка ВЗ под Ø 12 - 90 
1Ex d IIС Gb/PB Ex d I Mb или 
  Ex tb IIIС Db или 0Ex ia IIC Ga или 1Ex e IIС Gb")</f>
        <v>Ех-заглушка ВЗ под Ø 12 - 90 
1Ex d IIС Gb/PB Ex d I Mb или 
  Ex tb IIIС Db или 0Ex ia IIC Ga или 1Ex e IIС Gb</v>
      </c>
      <c r="B337" s="6" t="str">
        <f ca="1">IFERROR(__xludf.DUMMYFUNCTION("""COMPUTED_VALUE"""),"Для закрытия неиспользуемых отверстий в корпусах взрывозащищённого оборудования. Материал, диаметр и тип резьбы определяется при заказе. Степень защиты оболочки вводов – IP66/ IP68.")</f>
        <v>Для закрытия неиспользуемых отверстий в корпусах взрывозащищённого оборудования. Материал, диаметр и тип резьбы определяется при заказе. Степень защиты оболочки вводов – IP66/ IP68.</v>
      </c>
      <c r="C337" s="9" t="str">
        <f ca="1">IFERROR(__xludf.DUMMYFUNCTION("""COMPUTED_VALUE"""),"по запросу")</f>
        <v>по запросу</v>
      </c>
      <c r="D337" s="6"/>
      <c r="E337" s="8"/>
    </row>
    <row r="338" spans="1:5" ht="114.75">
      <c r="A338" s="5" t="str">
        <f ca="1">IFERROR(__xludf.DUMMYFUNCTION("""COMPUTED_VALUE"""),"Р16 
 М16х1,5, 1ExdIIC/1ExeIIC/2ExnRIIC/Ex ta IIIC
 Da, IP 66/67/68, Ni")</f>
        <v>Р16 
 М16х1,5, 1ExdIIC/1ExeIIC/2ExnRIIC/Ex ta IIIC
 Da, IP 66/67/68, Ni</v>
      </c>
      <c r="B338" s="6" t="str">
        <f ca="1">IFERROR(__xludf.DUMMYFUNCTION("""COMPUTED_VALUE"""),"Р16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М16х1,5, IP 66/67/68, Никелированная латунь")</f>
        <v>Р16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М16х1,5, IP 66/67/68, Никелированная латунь</v>
      </c>
      <c r="C338" s="9">
        <f ca="1">IFERROR(__xludf.DUMMYFUNCTION("""COMPUTED_VALUE"""),326.7)</f>
        <v>326.7</v>
      </c>
      <c r="D338" s="6"/>
      <c r="E338" s="8"/>
    </row>
    <row r="339" spans="1:5" ht="114.75">
      <c r="A339" s="5" t="str">
        <f ca="1">IFERROR(__xludf.DUMMYFUNCTION("""COMPUTED_VALUE"""),"Р20
 М20х1,5, 1ExdIIC/1ExeIIC/2ExnRIIC/Ex ta IIIC
 Da, IP 66/67/68, Ni")</f>
        <v>Р20
 М20х1,5, 1ExdIIC/1ExeIIC/2ExnRIIC/Ex ta IIIC
 Da, IP 66/67/68, Ni</v>
      </c>
      <c r="B339" s="6" t="str">
        <f ca="1">IFERROR(__xludf.DUMMYFUNCTION("""COMPUTED_VALUE"""),"Р20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М20х1,5,  IP 66/67/68, Никелированная латунь")</f>
        <v>Р20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М20х1,5,  IP 66/67/68, Никелированная латунь</v>
      </c>
      <c r="C339" s="9">
        <f ca="1">IFERROR(__xludf.DUMMYFUNCTION("""COMPUTED_VALUE"""),480)</f>
        <v>480</v>
      </c>
      <c r="D339" s="6"/>
      <c r="E339" s="8"/>
    </row>
    <row r="340" spans="1:5" ht="114.75">
      <c r="A340" s="5" t="str">
        <f ca="1">IFERROR(__xludf.DUMMYFUNCTION("""COMPUTED_VALUE"""),"Р25
 М25х1,5, 1ExdIIC/1ExeIIC/2ExnRIIC/Ex ta IIIC
 Da, IP 66/67/68, Ni")</f>
        <v>Р25
 М25х1,5, 1ExdIIC/1ExeIIC/2ExnRIIC/Ex ta IIIC
 Da, IP 66/67/68, Ni</v>
      </c>
      <c r="B340" s="6" t="str">
        <f ca="1">IFERROR(__xludf.DUMMYFUNCTION("""COMPUTED_VALUE"""),"Р25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М25х1,5, IP 66/67/68, Никелированная латунь")</f>
        <v>Р25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М25х1,5, IP 66/67/68, Никелированная латунь</v>
      </c>
      <c r="C340" s="9">
        <f ca="1">IFERROR(__xludf.DUMMYFUNCTION("""COMPUTED_VALUE"""),720)</f>
        <v>720</v>
      </c>
      <c r="D340" s="6"/>
      <c r="E340" s="8"/>
    </row>
    <row r="341" spans="1:5" ht="51">
      <c r="A341" s="5" t="str">
        <f ca="1">IFERROR(__xludf.DUMMYFUNCTION("""COMPUTED_VALUE"""),"Ех-переходник МКВМ 01МН 1МН Н 
(М16х1,5/М20х1,5)
1Ex d IIС Gb/PB Ex d I Mb или 
  Ex tb IIIС Db или 0Ex ia IIC Ga или 1Ex e IIС Gb")</f>
        <v>Ех-переходник МКВМ 01МН 1МН Н 
(М16х1,5/М20х1,5)
1Ex d IIС Gb/PB Ex d I Mb или 
  Ex tb IIIС Db или 0Ex ia IIC Ga или 1Ex e IIС Gb</v>
      </c>
      <c r="B341" s="6" t="str">
        <f ca="1">IFERROR(__xludf.DUMMYFUNCTION("""COMPUTED_VALUE"""),"Переход с внешней резьбы М16х1,5 на внешнюю резьбу М20х1,5. Степень защиты оболочки вводов – IP66/ IP68. Нержавеющая сталь.")</f>
        <v>Переход с внешней резьбы М16х1,5 на внешнюю резьбу М20х1,5. Степень защиты оболочки вводов – IP66/ IP68. Нержавеющая сталь.</v>
      </c>
      <c r="C341" s="9">
        <f ca="1">IFERROR(__xludf.DUMMYFUNCTION("""COMPUTED_VALUE"""),830.06)</f>
        <v>830.06</v>
      </c>
      <c r="D341" s="6"/>
      <c r="E341" s="8"/>
    </row>
    <row r="342" spans="1:5" ht="51">
      <c r="A342" s="5" t="str">
        <f ca="1">IFERROR(__xludf.DUMMYFUNCTION("""COMPUTED_VALUE"""),"Ех-переходник МКВМ 1МН 2МН Н 
(М20х1,5/М25х1,5)
1Ex d IIС Gb/PB Ex d I Mb или 
  Ex tb IIIС Db или 0Ex ia IIC Ga или 1Ex e IIС Gb")</f>
        <v>Ех-переходник МКВМ 1МН 2МН Н 
(М20х1,5/М25х1,5)
1Ex d IIС Gb/PB Ex d I Mb или 
  Ex tb IIIС Db или 0Ex ia IIC Ga или 1Ex e IIС Gb</v>
      </c>
      <c r="B342" s="6" t="str">
        <f ca="1">IFERROR(__xludf.DUMMYFUNCTION("""COMPUTED_VALUE"""),"Переход с внешней резьбы М20х1,5 на внешнюю резьбу М25х1,5. Степень защиты оболочки вводов – IP66/ IP68. Нержавеющая сталь.")</f>
        <v>Переход с внешней резьбы М20х1,5 на внешнюю резьбу М25х1,5. Степень защиты оболочки вводов – IP66/ IP68. Нержавеющая сталь.</v>
      </c>
      <c r="C342" s="9">
        <f ca="1">IFERROR(__xludf.DUMMYFUNCTION("""COMPUTED_VALUE"""),830.06)</f>
        <v>830.06</v>
      </c>
      <c r="D342" s="6"/>
      <c r="E342" s="8"/>
    </row>
    <row r="343" spans="1:5" ht="63.75">
      <c r="A343" s="5" t="str">
        <f ca="1">IFERROR(__xludf.DUMMYFUNCTION("""COMPUTED_VALUE"""),"Ех-переходник МКВМ Ø 12 - 90 
1Ex d IIС Gb/PB Ex d I Mb или 
  Ex tb IIIС Db или 0Ex ia IIC Ga или 1Ex e IIС Gb")</f>
        <v>Ех-переходник МКВМ Ø 12 - 90 
1Ex d IIС Gb/PB Ex d I Mb или 
  Ex tb IIIС Db или 0Ex ia IIC Ga или 1Ex e IIС Gb</v>
      </c>
      <c r="B343" s="6" t="str">
        <f ca="1">IFERROR(__xludf.DUMMYFUNCTION("""COMPUTED_VALUE"""),"Для изменения диаметра и/или изменения типа резьбы вводных отверстий. Материал, диаметр, тип и вид резьбы определяется при заказе. Степень защиты оболочки вводов – IP66/ IP68.")</f>
        <v>Для изменения диаметра и/или изменения типа резьбы вводных отверстий. Материал, диаметр, тип и вид резьбы определяется при заказе. Степень защиты оболочки вводов – IP66/ IP68.</v>
      </c>
      <c r="C343" s="9" t="str">
        <f ca="1">IFERROR(__xludf.DUMMYFUNCTION("""COMPUTED_VALUE"""),"по запросу")</f>
        <v>по запросу</v>
      </c>
      <c r="D343" s="6"/>
      <c r="E343" s="8"/>
    </row>
    <row r="344" spans="1:5" ht="76.5">
      <c r="A344" s="5" t="str">
        <f ca="1">IFERROR(__xludf.DUMMYFUNCTION("""COMPUTED_VALUE"""),"Ех МКВМ М16 К")</f>
        <v>Ех МКВМ М16 К</v>
      </c>
      <c r="B344" s="6" t="str">
        <f ca="1">IFERROR(__xludf.DUMMYFUNCTION("""COMPUTED_VALUE"""),"Ех МКВМ М16 К ( -70+200) Взрывозащищенный кабельный ввод для всех типов небронированного кабеля круглого сечения обжатие кабеля d 4-11мм, М16х1,5, нержавеющая сталь, IP 66/67/68")</f>
        <v>Ех МКВМ М16 К ( -70+200) Взрывозащищенный кабельный ввод для всех типов небронированного кабеля круглого сечения обжатие кабеля d 4-11мм, М16х1,5, нержавеющая сталь, IP 66/67/68</v>
      </c>
      <c r="C344" s="9">
        <f ca="1">IFERROR(__xludf.DUMMYFUNCTION("""COMPUTED_VALUE"""),3773)</f>
        <v>3773</v>
      </c>
      <c r="D344" s="6"/>
      <c r="E344" s="8"/>
    </row>
    <row r="345" spans="1:5" ht="76.5">
      <c r="A345" s="5" t="str">
        <f ca="1">IFERROR(__xludf.DUMMYFUNCTION("""COMPUTED_VALUE"""),"Ех МКВМ М16 В")</f>
        <v>Ех МКВМ М16 В</v>
      </c>
      <c r="B345" s="6" t="str">
        <f ca="1">IFERROR(__xludf.DUMMYFUNCTION("""COMPUTED_VALUE"""),"Ех МКВМ М16 В ( -70+200) Взрывозащищенный кабельный ввод для всех типов бронированного кабеля круглого сечения обжатие кабеля d 4-11мм, М16х1,5, нержавеющая сталь, IP 66/67/68")</f>
        <v>Ех МКВМ М16 В ( -70+200) Взрывозащищенный кабельный ввод для всех типов бронированного кабеля круглого сечения обжатие кабеля d 4-11мм, М16х1,5, нержавеющая сталь, IP 66/67/68</v>
      </c>
      <c r="C345" s="9">
        <f ca="1">IFERROR(__xludf.DUMMYFUNCTION("""COMPUTED_VALUE"""),3773)</f>
        <v>3773</v>
      </c>
      <c r="D345" s="6"/>
      <c r="E345" s="8"/>
    </row>
    <row r="346" spans="1:5" ht="114.75">
      <c r="A346" s="5" t="str">
        <f ca="1">IFERROR(__xludf.DUMMYFUNCTION("""COMPUTED_VALUE"""),"Ех МКВМ М16 Т3/4")</f>
        <v>Ех МКВМ М16 Т3/4</v>
      </c>
      <c r="B346" s="6" t="str">
        <f ca="1">IFERROR(__xludf.DUMMYFUNCTION("""COMPUTED_VALUE"""),"Ех МКВМ М16 К ( -70+200) Взрывозащищенный кабельный ввод для всех типов
 небронированного кабеля круглого сечения,
 проложенного в трубе, обжатие кабеля d 4-11 мм, диаметр трубной резьбы G3/4, М16х1,5, нержавеющая сталь IP 66/67/68")</f>
        <v>Ех МКВМ М16 К ( -70+200) Взрывозащищенный кабельный ввод для всех типов
 небронированного кабеля круглого сечения,
 проложенного в трубе, обжатие кабеля d 4-11 мм, диаметр трубной резьбы G3/4, М16х1,5, нержавеющая сталь IP 66/67/68</v>
      </c>
      <c r="C346" s="9">
        <f ca="1">IFERROR(__xludf.DUMMYFUNCTION("""COMPUTED_VALUE"""),3773)</f>
        <v>3773</v>
      </c>
      <c r="D346" s="6"/>
      <c r="E346" s="8"/>
    </row>
    <row r="347" spans="1:5" ht="89.25">
      <c r="A347" s="5" t="str">
        <f ca="1">IFERROR(__xludf.DUMMYFUNCTION("""COMPUTED_VALUE"""),"Ех МКВМ М16 КМ8")</f>
        <v>Ех МКВМ М16 КМ8</v>
      </c>
      <c r="B347" s="6" t="str">
        <f ca="1">IFERROR(__xludf.DUMMYFUNCTION("""COMPUTED_VALUE"""),"Ех МКВМ М16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М16х1,5, нержавеющая сталь IP 66/67/68")</f>
        <v>Ех МКВМ М16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М16х1,5, нержавеющая сталь IP 66/67/68</v>
      </c>
      <c r="C347" s="9">
        <f ca="1">IFERROR(__xludf.DUMMYFUNCTION("""COMPUTED_VALUE"""),3773)</f>
        <v>3773</v>
      </c>
      <c r="D347" s="6"/>
      <c r="E347" s="8"/>
    </row>
    <row r="348" spans="1:5" ht="89.25">
      <c r="A348" s="5" t="str">
        <f ca="1">IFERROR(__xludf.DUMMYFUNCTION("""COMPUTED_VALUE"""),"Ех МКВМ М16 КМ10")</f>
        <v>Ех МКВМ М16 КМ10</v>
      </c>
      <c r="B348" s="6" t="str">
        <f ca="1">IFERROR(__xludf.DUMMYFUNCTION("""COMPUTED_VALUE"""),"Ех МКВМ М16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М16х1,5, нержавеющая сталь IP 66/67/68")</f>
        <v>Ех МКВМ М16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М16х1,5, нержавеющая сталь IP 66/67/68</v>
      </c>
      <c r="C348" s="9">
        <f ca="1">IFERROR(__xludf.DUMMYFUNCTION("""COMPUTED_VALUE"""),3773)</f>
        <v>3773</v>
      </c>
      <c r="D348" s="6"/>
      <c r="E348" s="8"/>
    </row>
    <row r="349" spans="1:5" ht="89.25">
      <c r="A349" s="5" t="str">
        <f ca="1">IFERROR(__xludf.DUMMYFUNCTION("""COMPUTED_VALUE"""),"Ех МКВМ М16 КМ12")</f>
        <v>Ех МКВМ М16 КМ12</v>
      </c>
      <c r="B349" s="6" t="str">
        <f ca="1">IFERROR(__xludf.DUMMYFUNCTION("""COMPUTED_VALUE"""),"Ех МКВМ М16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М16х1,5, нержавеющая сталь,  IP 66/67/68")</f>
        <v>Ех МКВМ М16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М16х1,5, нержавеющая сталь,  IP 66/67/68</v>
      </c>
      <c r="C349" s="9">
        <f ca="1">IFERROR(__xludf.DUMMYFUNCTION("""COMPUTED_VALUE"""),3773)</f>
        <v>3773</v>
      </c>
      <c r="D349" s="6"/>
      <c r="E349" s="8"/>
    </row>
    <row r="350" spans="1:5" ht="63.75">
      <c r="A350" s="5" t="str">
        <f ca="1">IFERROR(__xludf.DUMMYFUNCTION("""COMPUTED_VALUE"""),"Ех МКВМ М20 К")</f>
        <v>Ех МКВМ М20 К</v>
      </c>
      <c r="B350" s="6" t="str">
        <f ca="1">IFERROR(__xludf.DUMMYFUNCTION("""COMPUTED_VALUE"""),"Ех МКВМ М20 К ( -70+200) Взрывозащищенный кабельный ввод для всех типов небронированного кабеля круглого сечения обжатие кабеля d 4-14мм, М20х1,5, нержавеющая сталь")</f>
        <v>Ех МКВМ М20 К ( -70+200) Взрывозащищенный кабельный ввод для всех типов небронированного кабеля круглого сечения обжатие кабеля d 4-14мм, М20х1,5, нержавеющая сталь</v>
      </c>
      <c r="C350" s="9">
        <f ca="1">IFERROR(__xludf.DUMMYFUNCTION("""COMPUTED_VALUE"""),3932)</f>
        <v>3932</v>
      </c>
      <c r="D350" s="6"/>
      <c r="E350" s="8"/>
    </row>
    <row r="351" spans="1:5" ht="63.75">
      <c r="A351" s="5" t="str">
        <f ca="1">IFERROR(__xludf.DUMMYFUNCTION("""COMPUTED_VALUE"""),"Ех МКВМ М20 В")</f>
        <v>Ех МКВМ М20 В</v>
      </c>
      <c r="B351" s="6" t="str">
        <f ca="1">IFERROR(__xludf.DUMMYFUNCTION("""COMPUTED_VALUE"""),"Ех МКВМ М20 В ( -70+200) Взрывозащищенный кабельный ввод для всех типов бронированного кабеля круглого сечения обжатие кабеля d 4-14мм, М20х1,5, нержавеющая сталь")</f>
        <v>Ех МКВМ М20 В ( -70+200) Взрывозащищенный кабельный ввод для всех типов бронированного кабеля круглого сечения обжатие кабеля d 4-14мм, М20х1,5, нержавеющая сталь</v>
      </c>
      <c r="C351" s="9">
        <f ca="1">IFERROR(__xludf.DUMMYFUNCTION("""COMPUTED_VALUE"""),3932)</f>
        <v>3932</v>
      </c>
      <c r="D351" s="6"/>
      <c r="E351" s="8"/>
    </row>
    <row r="352" spans="1:5" ht="89.25">
      <c r="A352" s="5" t="str">
        <f ca="1">IFERROR(__xludf.DUMMYFUNCTION("""COMPUTED_VALUE"""),"Ех МКВМ М20 Т3/4")</f>
        <v>Ех МКВМ М20 Т3/4</v>
      </c>
      <c r="B352" s="6" t="str">
        <f ca="1">IFERROR(__xludf.DUMMYFUNCTION("""COMPUTED_VALUE"""),"Ех МКВМ М20 Т3/4(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 М20х1,5, нержавеющая сталь")</f>
        <v>Ех МКВМ М20 Т3/4(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 М20х1,5, нержавеющая сталь</v>
      </c>
      <c r="C352" s="9">
        <f ca="1">IFERROR(__xludf.DUMMYFUNCTION("""COMPUTED_VALUE"""),3932)</f>
        <v>3932</v>
      </c>
      <c r="D352" s="6"/>
      <c r="E352" s="8"/>
    </row>
    <row r="353" spans="1:5" ht="89.25">
      <c r="A353" s="5" t="str">
        <f ca="1">IFERROR(__xludf.DUMMYFUNCTION("""COMPUTED_VALUE"""),"Ех МКВМ М20 Т1/2")</f>
        <v>Ех МКВМ М20 Т1/2</v>
      </c>
      <c r="B353" s="6" t="str">
        <f ca="1">IFERROR(__xludf.DUMMYFUNCTION("""COMPUTED_VALUE"""),"Ех МКВМ М20 Т1/2 (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М20х1,5, нержавеющая сталь")</f>
        <v>Ех МКВМ М20 Т1/2 (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М20х1,5, нержавеющая сталь</v>
      </c>
      <c r="C353" s="9">
        <f ca="1">IFERROR(__xludf.DUMMYFUNCTION("""COMPUTED_VALUE"""),3932)</f>
        <v>3932</v>
      </c>
      <c r="D353" s="6"/>
      <c r="E353" s="8"/>
    </row>
    <row r="354" spans="1:5" ht="89.25">
      <c r="A354" s="5" t="str">
        <f ca="1">IFERROR(__xludf.DUMMYFUNCTION("""COMPUTED_VALUE"""),"Ех МКВМ М20 КМ8")</f>
        <v>Ех МКВМ М20 КМ8</v>
      </c>
      <c r="B354" s="6" t="str">
        <f ca="1">IFERROR(__xludf.DUMMYFUNCTION("""COMPUTED_VALUE"""),"Ех МКВМ М20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М20х1,5, нержавеющая сталь")</f>
        <v>Ех МКВМ М20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М20х1,5, нержавеющая сталь</v>
      </c>
      <c r="C354" s="9">
        <f ca="1">IFERROR(__xludf.DUMMYFUNCTION("""COMPUTED_VALUE"""),3932)</f>
        <v>3932</v>
      </c>
      <c r="D354" s="6"/>
      <c r="E354" s="8"/>
    </row>
    <row r="355" spans="1:5" ht="89.25">
      <c r="A355" s="5" t="str">
        <f ca="1">IFERROR(__xludf.DUMMYFUNCTION("""COMPUTED_VALUE"""),"Ех МКВМ М20 КМ10")</f>
        <v>Ех МКВМ М20 КМ10</v>
      </c>
      <c r="B355" s="6" t="str">
        <f ca="1">IFERROR(__xludf.DUMMYFUNCTION("""COMPUTED_VALUE"""),"Ех МКВМ М20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М20х1,5, нержавеющая сталь")</f>
        <v>Ех МКВМ М20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М20х1,5, нержавеющая сталь</v>
      </c>
      <c r="C355" s="9">
        <f ca="1">IFERROR(__xludf.DUMMYFUNCTION("""COMPUTED_VALUE"""),3932)</f>
        <v>3932</v>
      </c>
      <c r="D355" s="6"/>
      <c r="E355" s="8"/>
    </row>
    <row r="356" spans="1:5" ht="89.25">
      <c r="A356" s="5" t="str">
        <f ca="1">IFERROR(__xludf.DUMMYFUNCTION("""COMPUTED_VALUE"""),"Ех МКВМ М20 КМ12")</f>
        <v>Ех МКВМ М20 КМ12</v>
      </c>
      <c r="B356" s="6" t="str">
        <f ca="1">IFERROR(__xludf.DUMMYFUNCTION("""COMPUTED_VALUE"""),"Ех МКВМ М20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М20х1,5, нержавеющая сталь")</f>
        <v>Ех МКВМ М20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М20х1,5, нержавеющая сталь</v>
      </c>
      <c r="C356" s="9">
        <f ca="1">IFERROR(__xludf.DUMMYFUNCTION("""COMPUTED_VALUE"""),3932)</f>
        <v>3932</v>
      </c>
      <c r="D356" s="6"/>
      <c r="E356" s="8"/>
    </row>
    <row r="357" spans="1:5" ht="89.25">
      <c r="A357" s="5" t="str">
        <f ca="1">IFERROR(__xludf.DUMMYFUNCTION("""COMPUTED_VALUE"""),"Ех МКВМ М20 КМ15")</f>
        <v>Ех МКВМ М20 КМ15</v>
      </c>
      <c r="B357" s="6" t="str">
        <f ca="1">IFERROR(__xludf.DUMMYFUNCTION("""COMPUTED_VALUE"""),"Ех МКВМ М20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4-14 мм, М20х1,5, нержавеющая сталь")</f>
        <v>Ех МКВМ М20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4-14 мм, М20х1,5, нержавеющая сталь</v>
      </c>
      <c r="C357" s="9">
        <f ca="1">IFERROR(__xludf.DUMMYFUNCTION("""COMPUTED_VALUE"""),3932)</f>
        <v>3932</v>
      </c>
      <c r="D357" s="6"/>
      <c r="E357" s="8"/>
    </row>
    <row r="358" spans="1:5" ht="89.25">
      <c r="A358" s="5" t="str">
        <f ca="1">IFERROR(__xludf.DUMMYFUNCTION("""COMPUTED_VALUE"""),"Ех МКВМ М20 КМ16")</f>
        <v>Ех МКВМ М20 КМ16</v>
      </c>
      <c r="B358" s="6" t="str">
        <f ca="1">IFERROR(__xludf.DUMMYFUNCTION("""COMPUTED_VALUE"""),"Ех МКВМ М20 КМ16 ( -70+200) Взрывозащищенный кабельный ввод для всех типов небронированного кабеля круглого сечения, проложенного в металлорукаве типа РЗЦ16, обжатие кабеля d 6-15 мм, М20х1,5, нержавеющая сталь")</f>
        <v>Ех МКВМ М20 КМ16 ( -70+200) Взрывозащищенный кабельный ввод для всех типов небронированного кабеля круглого сечения, проложенного в металлорукаве типа РЗЦ16, обжатие кабеля d 6-15 мм, М20х1,5, нержавеющая сталь</v>
      </c>
      <c r="C358" s="9">
        <f ca="1">IFERROR(__xludf.DUMMYFUNCTION("""COMPUTED_VALUE"""),3932)</f>
        <v>3932</v>
      </c>
      <c r="D358" s="6"/>
      <c r="E358" s="8"/>
    </row>
    <row r="359" spans="1:5" ht="89.25">
      <c r="A359" s="5" t="str">
        <f ca="1">IFERROR(__xludf.DUMMYFUNCTION("""COMPUTED_VALUE"""),"Ех МКВМ М20 КМ18")</f>
        <v>Ех МКВМ М20 КМ18</v>
      </c>
      <c r="B359" s="6" t="str">
        <f ca="1">IFERROR(__xludf.DUMMYFUNCTION("""COMPUTED_VALUE"""),"Ех МКВМ М20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4-14 мм, М20х1,5, нержавеющая сталь")</f>
        <v>Ех МКВМ М20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4-14 мм, М20х1,5, нержавеющая сталь</v>
      </c>
      <c r="C359" s="9">
        <f ca="1">IFERROR(__xludf.DUMMYFUNCTION("""COMPUTED_VALUE"""),3932)</f>
        <v>3932</v>
      </c>
      <c r="D359" s="6"/>
      <c r="E359" s="8"/>
    </row>
    <row r="360" spans="1:5" ht="63.75">
      <c r="A360" s="5" t="str">
        <f ca="1">IFERROR(__xludf.DUMMYFUNCTION("""COMPUTED_VALUE"""),"Ех МКВМ М25 К")</f>
        <v>Ех МКВМ М25 К</v>
      </c>
      <c r="B360" s="6" t="str">
        <f ca="1">IFERROR(__xludf.DUMMYFUNCTION("""COMPUTED_VALUE"""),"Ех МКВМ М25 К ( -70+200) Взрывозащищенный кабельный ввод для всех типов небронированного кабеля круглого сечения обжатие кабеля d 6-18мм, М25х1,5, нержавеющая сталь")</f>
        <v>Ех МКВМ М25 К ( -70+200) Взрывозащищенный кабельный ввод для всех типов небронированного кабеля круглого сечения обжатие кабеля d 6-18мм, М25х1,5, нержавеющая сталь</v>
      </c>
      <c r="C360" s="9">
        <f ca="1">IFERROR(__xludf.DUMMYFUNCTION("""COMPUTED_VALUE"""),7078)</f>
        <v>7078</v>
      </c>
      <c r="D360" s="6"/>
      <c r="E360" s="8"/>
    </row>
    <row r="361" spans="1:5" ht="63.75">
      <c r="A361" s="5" t="str">
        <f ca="1">IFERROR(__xludf.DUMMYFUNCTION("""COMPUTED_VALUE"""),"Ех МКВМ М25 В")</f>
        <v>Ех МКВМ М25 В</v>
      </c>
      <c r="B361" s="6" t="str">
        <f ca="1">IFERROR(__xludf.DUMMYFUNCTION("""COMPUTED_VALUE"""),"Ех МКВМ М25 В ( -70+200) Взрывозащищенный кабельный ввод для всех типов бронированного кабеля круглого сечения обжатие кабеля d 6-18мм, М25х1,5, нержавеющая сталь")</f>
        <v>Ех МКВМ М25 В ( -70+200) Взрывозащищенный кабельный ввод для всех типов бронированного кабеля круглого сечения обжатие кабеля d 6-18мм, М25х1,5, нержавеющая сталь</v>
      </c>
      <c r="C361" s="9">
        <f ca="1">IFERROR(__xludf.DUMMYFUNCTION("""COMPUTED_VALUE"""),7078)</f>
        <v>7078</v>
      </c>
      <c r="D361" s="6"/>
      <c r="E361" s="8"/>
    </row>
    <row r="362" spans="1:5" ht="89.25">
      <c r="A362" s="5" t="str">
        <f ca="1">IFERROR(__xludf.DUMMYFUNCTION("""COMPUTED_VALUE"""),"Ех МКВМ М25 Т3/4")</f>
        <v>Ех МКВМ М25 Т3/4</v>
      </c>
      <c r="B362" s="6" t="str">
        <f ca="1">IFERROR(__xludf.DUMMYFUNCTION("""COMPUTED_VALUE"""),"Ех МКВМ М25 Т3/4( -70+200) Взрывозащищенный кабельный ввод для всех типов небронированного кабеля круглого сечения, проложенного в трубе, обжатие кабеля d 6-18 мм, диаметр трубной резьбы G3/4 , М25х1,5, нержавеющая сталь")</f>
        <v>Ех МКВМ М25 Т3/4( -70+200) Взрывозащищенный кабельный ввод для всех типов небронированного кабеля круглого сечения, проложенного в трубе, обжатие кабеля d 6-18 мм, диаметр трубной резьбы G3/4 , М25х1,5, нержавеющая сталь</v>
      </c>
      <c r="C362" s="9">
        <f ca="1">IFERROR(__xludf.DUMMYFUNCTION("""COMPUTED_VALUE"""),7078)</f>
        <v>7078</v>
      </c>
      <c r="D362" s="6"/>
      <c r="E362" s="8"/>
    </row>
    <row r="363" spans="1:5" ht="63.75">
      <c r="A363" s="5" t="str">
        <f ca="1">IFERROR(__xludf.DUMMYFUNCTION("""COMPUTED_VALUE"""),"Ех МКВМ М25 КМ10")</f>
        <v>Ех МКВМ М25 КМ10</v>
      </c>
      <c r="B363" s="6" t="str">
        <f ca="1">IFERROR(__xludf.DUMMYFUNCTION("""COMPUTED_VALUE"""),"Ех МКВМ М25 КМ10 ( -70+200) Взрывозащищенный кабельный ввод для всех типов небронированного кабеля круглого сечения, проложенного в металлорукаве типа РЗЦ10")</f>
        <v>Ех МКВМ М25 КМ10 ( -70+200) Взрывозащищенный кабельный ввод для всех типов небронированного кабеля круглого сечения, проложенного в металлорукаве типа РЗЦ10</v>
      </c>
      <c r="C363" s="9">
        <f ca="1">IFERROR(__xludf.DUMMYFUNCTION("""COMPUTED_VALUE"""),7078)</f>
        <v>7078</v>
      </c>
      <c r="D363" s="6"/>
      <c r="E363" s="8"/>
    </row>
    <row r="364" spans="1:5" ht="63.75">
      <c r="A364" s="5" t="str">
        <f ca="1">IFERROR(__xludf.DUMMYFUNCTION("""COMPUTED_VALUE"""),"Ех МКВМ М25 КМ12")</f>
        <v>Ех МКВМ М25 КМ12</v>
      </c>
      <c r="B364" s="6" t="str">
        <f ca="1">IFERROR(__xludf.DUMMYFUNCTION("""COMPUTED_VALUE"""),"Ех МКВМ М25 КМ12 ( -70+200) Взрывозащищенный кабельный ввод для всех типов небронированного кабеля круглого сечения, проложенного в металлорукаве типа РЗЦ12")</f>
        <v>Ех МКВМ М25 КМ12 ( -70+200) Взрывозащищенный кабельный ввод для всех типов небронированного кабеля круглого сечения, проложенного в металлорукаве типа РЗЦ12</v>
      </c>
      <c r="C364" s="9">
        <f ca="1">IFERROR(__xludf.DUMMYFUNCTION("""COMPUTED_VALUE"""),7078)</f>
        <v>7078</v>
      </c>
      <c r="D364" s="6"/>
      <c r="E364" s="8"/>
    </row>
    <row r="365" spans="1:5" ht="89.25">
      <c r="A365" s="5" t="str">
        <f ca="1">IFERROR(__xludf.DUMMYFUNCTION("""COMPUTED_VALUE"""),"Ех МКВМ М25 КМ15")</f>
        <v>Ех МКВМ М25 КМ15</v>
      </c>
      <c r="B365" s="6" t="str">
        <f ca="1">IFERROR(__xludf.DUMMYFUNCTION("""COMPUTED_VALUE"""),"Ех МКВМ М25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6-14 мм, М25х1,5, нержавеющая сталь")</f>
        <v>Ех МКВМ М25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6-14 мм, М25х1,5, нержавеющая сталь</v>
      </c>
      <c r="C365" s="9">
        <f ca="1">IFERROR(__xludf.DUMMYFUNCTION("""COMPUTED_VALUE"""),7078)</f>
        <v>7078</v>
      </c>
      <c r="D365" s="6"/>
      <c r="E365" s="8"/>
    </row>
    <row r="366" spans="1:5" ht="89.25">
      <c r="A366" s="5" t="str">
        <f ca="1">IFERROR(__xludf.DUMMYFUNCTION("""COMPUTED_VALUE"""),"Ех МКВМ М25 КМ18")</f>
        <v>Ех МКВМ М25 КМ18</v>
      </c>
      <c r="B366" s="6" t="str">
        <f ca="1">IFERROR(__xludf.DUMMYFUNCTION("""COMPUTED_VALUE"""),"Ех МКВМ М25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6-16 мм, М25х1,5, нержавеющая сталь")</f>
        <v>Ех МКВМ М25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6-16 мм, М25х1,5, нержавеющая сталь</v>
      </c>
      <c r="C366" s="9">
        <f ca="1">IFERROR(__xludf.DUMMYFUNCTION("""COMPUTED_VALUE"""),7078)</f>
        <v>7078</v>
      </c>
      <c r="D366" s="6"/>
      <c r="E366" s="8"/>
    </row>
    <row r="367" spans="1:5" ht="89.25">
      <c r="A367" s="5" t="str">
        <f ca="1">IFERROR(__xludf.DUMMYFUNCTION("""COMPUTED_VALUE"""),"Ех МКВМ М25 КМ20")</f>
        <v>Ех МКВМ М25 КМ20</v>
      </c>
      <c r="B367" s="6" t="str">
        <f ca="1">IFERROR(__xludf.DUMMYFUNCTION("""COMPUTED_VALUE"""),"Ех МКВМ М25 КМ20 ( -70+200) Взрывозащищенный кабельный ввод для всех типов небронированного кабеля круглого сечения, проложенного в металлорукаве типа РЗЦ20, обжатие кабеля d 6-18 мм, М25х1,5, нержавеющая сталь")</f>
        <v>Ех МКВМ М25 КМ20 ( -70+200) Взрывозащищенный кабельный ввод для всех типов небронированного кабеля круглого сечения, проложенного в металлорукаве типа РЗЦ20, обжатие кабеля d 6-18 мм, М25х1,5, нержавеющая сталь</v>
      </c>
      <c r="C367" s="9">
        <f ca="1">IFERROR(__xludf.DUMMYFUNCTION("""COMPUTED_VALUE"""),7078)</f>
        <v>7078</v>
      </c>
      <c r="D367" s="6"/>
      <c r="E367" s="8"/>
    </row>
    <row r="368" spans="1:5" ht="89.25">
      <c r="A368" s="5" t="str">
        <f ca="1">IFERROR(__xludf.DUMMYFUNCTION("""COMPUTED_VALUE"""),"Ех МКВМ М32 и РМ32 (К, В, В2, T1, КМ22, КМ25) 
1Ex d IIС Gb/PB Ex d I Mb или 
Ex tb IIIС Db или 
0Ex ia IIC Ga или 
1Ex e IIС Gb")</f>
        <v>Ех МКВМ М32 и РМ32 (К, В, В2, T1, КМ22, КМ25) 
1Ex d IIС Gb/PB Ex d I Mb или 
Ex tb IIIС Db или 
0Ex ia IIC Ga или 
1Ex e IIС Gb</v>
      </c>
      <c r="B368"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- 13-26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- 13-26 мм. Материал Нержавеющая сталь. Тип штуцера - выбрать</v>
      </c>
      <c r="C368" s="9">
        <f ca="1">IFERROR(__xludf.DUMMYFUNCTION("""COMPUTED_VALUE"""),12441)</f>
        <v>12441</v>
      </c>
      <c r="D368" s="6"/>
      <c r="E368" s="8"/>
    </row>
    <row r="369" spans="1:5" ht="89.25">
      <c r="A369" s="5" t="str">
        <f ca="1">IFERROR(__xludf.DUMMYFUNCTION("""COMPUTED_VALUE"""),"Ех МКВМ М40 и РМ40 (К, В, В2, Т1 1/4, КМ32) 
1Ex d IIС Gb/PB Ex d I Mb или 
Ex tb IIIС Db или 
0Ex ia IIC Ga или 
1Ex e IIС Gb")</f>
        <v>Ех МКВМ М40 и РМ40 (К, В, В2, Т1 1/4, КМ32) 
1Ex d IIС Gb/PB Ex d I Mb или 
Ex tb IIIС Db или 
0Ex ia IIC Ga или 
1Ex e IIС Gb</v>
      </c>
      <c r="B369"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- 21-30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- 21-30 мм. Материал Нержавеющая сталь. Тип штуцера - выбрать</v>
      </c>
      <c r="C369" s="9">
        <f ca="1">IFERROR(__xludf.DUMMYFUNCTION("""COMPUTED_VALUE"""),15658)</f>
        <v>15658</v>
      </c>
      <c r="D369" s="6"/>
      <c r="E369" s="8"/>
    </row>
    <row r="370" spans="1:5" ht="89.25">
      <c r="A370" s="5" t="str">
        <f ca="1">IFERROR(__xludf.DUMMYFUNCTION("""COMPUTED_VALUE"""),"Ех МКВМ М50 и РМ50 (К, В, В2, Т1 1/2, КМ38) 
1Ex d IIС Gb/PB Ex d I Mb или 
Ex tb IIIС Db или 
0Ex ia IIC Ga или 
1Ex e IIС Gb")</f>
        <v>Ех МКВМ М50 и РМ50 (К, В, В2, Т1 1/2, КМ38) 
1Ex d IIС Gb/PB Ex d I Mb или 
Ex tb IIIС Db или 
0Ex ia IIC Ga или 
1Ex e IIС Gb</v>
      </c>
      <c r="B370"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- 24-42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- 24-42 мм.  Материал Нержавеющая сталь. Тип штуцера - выбрать</v>
      </c>
      <c r="C370" s="9">
        <f ca="1">IFERROR(__xludf.DUMMYFUNCTION("""COMPUTED_VALUE"""),20735)</f>
        <v>20735</v>
      </c>
      <c r="D370" s="6"/>
      <c r="E370" s="8"/>
    </row>
    <row r="371" spans="1:5" ht="89.25">
      <c r="A371" s="5" t="str">
        <f ca="1">IFERROR(__xludf.DUMMYFUNCTION("""COMPUTED_VALUE"""),"Ех МКВМ М63 (К, В, Т2, КМ50) 
1Ex d IIС Gb/PB Ex d I Mb или 
Ex tb IIIС Db или 
0Ex ia IIC Ga или 
1Ex e IIС Gb")</f>
        <v>Ех МКВМ М63 (К, В, Т2, КМ50) 
1Ex d IIС Gb/PB Ex d I Mb или 
Ex tb IIIС Db или 
0Ex ia IIC Ga или 
1Ex e IIС Gb</v>
      </c>
      <c r="B371"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- 36-45 мм. Габариты, мм - 31х82.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- 36-45 мм. Габариты, мм - 31х82. Материал Нержавеющая сталь. Тип штуцера - выбрать</v>
      </c>
      <c r="C371" s="9">
        <f ca="1">IFERROR(__xludf.DUMMYFUNCTION("""COMPUTED_VALUE"""),29029)</f>
        <v>29029</v>
      </c>
      <c r="D371" s="6"/>
      <c r="E371" s="8"/>
    </row>
    <row r="372" spans="1:5" ht="89.25">
      <c r="A372" s="5" t="str">
        <f ca="1">IFERROR(__xludf.DUMMYFUNCTION("""COMPUTED_VALUE"""),"Ех МКВМ М75 (К, В) 
1Ex d IIС Gb/PB Ex d I Mb или 
Ex tb IIIС Db или 
0Ex ia IIC Ga или 
1Ex e IIС Gb")</f>
        <v>Ех МКВМ М75 (К, В) 
1Ex d IIС Gb/PB Ex d I Mb или 
Ex tb IIIС Db или 
0Ex ia IIC Ga или 
1Ex e IIС Gb</v>
      </c>
      <c r="B372"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- 47-63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- 47-63 мм. Материал Нержавеющая сталь. Тип штуцера - выбрать</v>
      </c>
      <c r="C372" s="9">
        <f ca="1">IFERROR(__xludf.DUMMYFUNCTION("""COMPUTED_VALUE"""),55055)</f>
        <v>55055</v>
      </c>
      <c r="D372" s="6"/>
      <c r="E372" s="8"/>
    </row>
    <row r="373" spans="1:5" ht="89.25">
      <c r="A373" s="5" t="str">
        <f ca="1">IFERROR(__xludf.DUMMYFUNCTION("""COMPUTED_VALUE"""),"Ех МКВМ М90 (К, В) 
1Ex d IIС Gb/PB Ex d I Mb или 
Ex tb IIIС Db или 
0Ex ia IIC Ga или 
1Ex e IIС Gb")</f>
        <v>Ех МКВМ М90 (К, В) 
1Ex d IIС Gb/PB Ex d I Mb или 
Ex tb IIIС Db или 
0Ex ia IIC Ga или 
1Ex e IIС Gb</v>
      </c>
      <c r="B373" s="6" t="str">
        <f ca="1">IFERROR(__xludf.DUMMYFUNCTION("""COMPUTED_VALUE"""),"Тип присоединительной резьбы: цилиндрическая трубная (G) и метрическая (М). Степень защиты оболочки вводов – IP66/ IP68. Проходной (внешний) Ø кабеля 63-79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(внешний) Ø кабеля 63-79 мм. Материал Нержавеющая сталь. Тип штуцера - выбрать</v>
      </c>
      <c r="C373" s="9">
        <f ca="1">IFERROR(__xludf.DUMMYFUNCTION("""COMPUTED_VALUE"""),110110)</f>
        <v>110110</v>
      </c>
      <c r="D373" s="6"/>
      <c r="E373" s="8"/>
    </row>
    <row r="374" spans="1:5" ht="165.75">
      <c r="A374" s="5" t="str">
        <f ca="1">IFERROR(__xludf.DUMMYFUNCTION("""COMPUTED_VALUE"""),"МКВ РМ20 (К, В, В2, Т1/2, T3/4, КМ8, КМ10, КМ12, КМ15, КМ18, КМ20) 
1Ex d IIС Gb/PB Ex d I Mb или 
Ex tb IIIС Db или 
0Ex ia IIC Ga или 
1Ex e IIС Gb")</f>
        <v>МКВ РМ20 (К, В, В2, Т1/2, T3/4, КМ8, КМ10, КМ12, КМ15, КМ18, КМ20) 
1Ex d IIС Gb/PB Ex d I Mb или 
Ex tb IIIС Db или 
0Ex ia IIC Ga или 
1Ex e IIС Gb</v>
      </c>
      <c r="B374" s="6" t="str">
        <f ca="1">IFERROR(__xludf.DUMMYFUNCTION("""COMPUTED_VALUE"""),"Вводы могут использоваться с бронированным и небронированным кабелем круглого сечения, а также кабелями проложенными в трубе или металлорукаве. Тип присоединительной резьбы: цилиндрическая трубная (G) и метрическая (М). Степень защиты оболочки вводов – IP"&amp;"66/ IP68. Резьба М20х1,5, 20мм. Размер под ключ S, мм - 27. Проходной Ø кабеля - 6-12 мм. Габариты, мм - 31х87. Материал Нержавеющая сталь. Тип штуцера - выбрать")</f>
        <v>Вводы могут использоваться с бронированным и небронированным кабелем круглого сечения, а также кабелями проложенными в трубе или металлорукаве. Тип присоединительной резьбы: цилиндрическая трубная (G) и метрическая (М). Степень защиты оболочки вводов – IP66/ IP68. Резьба М20х1,5, 20мм. Размер под ключ S, мм - 27. Проходной Ø кабеля - 6-12 мм. Габариты, мм - 31х87. Материал Нержавеющая сталь. Тип штуцера - выбрать</v>
      </c>
      <c r="C374" s="9">
        <f ca="1">IFERROR(__xludf.DUMMYFUNCTION("""COMPUTED_VALUE"""),4488)</f>
        <v>4488</v>
      </c>
      <c r="D374" s="6"/>
      <c r="E374" s="8"/>
    </row>
    <row r="375" spans="1:5" ht="76.5">
      <c r="A375" s="5" t="str">
        <f ca="1">IFERROR(__xludf.DUMMYFUNCTION("""COMPUTED_VALUE"""),"ВН16 
 1ExdIICGb/1ExeIIСGb/0ExiaIICGa/2ExnRIIGc/ExtaIIICDa, IP 66/67/68, Ni")</f>
        <v>ВН16 
 1ExdIICGb/1ExeIIСGb/0ExiaIICGa/2ExnRIIGc/ExtaIIICDa, IP 66/67/68, Ni</v>
      </c>
      <c r="B375" s="6" t="str">
        <f ca="1">IFERROR(__xludf.DUMMYFUNCTION("""COMPUTED_VALUE"""),"ВН16 (-60+130) - Взрывозащищенный кабельный ввод для всех типов небронированного кабеля круглого сечения обжатие кабеля d 3-8мм, М16х1,5,
IP 66/67/68, Никелированная латунь")</f>
        <v>ВН16 (-60+130) - Взрывозащищенный кабельный ввод для всех типов небронированного кабеля круглого сечения обжатие кабеля d 3-8мм, М16х1,5,
IP 66/67/68, Никелированная латунь</v>
      </c>
      <c r="C375" s="9">
        <f ca="1">IFERROR(__xludf.DUMMYFUNCTION("""COMPUTED_VALUE"""),669.13)</f>
        <v>669.13</v>
      </c>
      <c r="D375" s="6"/>
      <c r="E375" s="8"/>
    </row>
    <row r="376" spans="1:5" ht="178.5">
      <c r="A376" s="5" t="str">
        <f ca="1">IFERROR(__xludf.DUMMYFUNCTION("""COMPUTED_VALUE"""),"ВН16Мр12
 1ExdIICGb/1ExeIIСGb/0ExiaIICGa/2ExnRIIGc/E
 xtaIIICDa, IP 66/67/68, Ni")</f>
        <v>ВН16Мр12
 1ExdIICGb/1ExeIIСGb/0ExiaIICGa/2ExnRIIGc/E
 xtaIIICDa, IP 66/67/68, Ni</v>
      </c>
      <c r="B376" s="6" t="str">
        <f ca="1">IFERROR(__xludf.DUMMYFUNCTION("""COMPUTED_VALUE"""),"ВН16Мр12 (-60+130) - Взрывозащищенный
 кабельный ввод для всех типов
 небронированного кабеля круглого сечения,
 проложенного в металлорукаве, обжатие
 кабеля d 3-8мм, условный диаметр
 металлорукава 12мм, М16х1,5,
 1ExdIICGb/1ExeIIСGb/0ExiaIICGa/2ExnRIIG"&amp;"c/E
 xtaIIICDa, IP 66/67/68, Никелированная латунь")</f>
        <v>ВН16Мр12 (-60+130) - Взрывозащищенный
 кабельный ввод для всех типов
 небронированного кабеля круглого сечения,
 проложенного в металлорукаве, обжатие
 кабеля d 3-8мм, условный диаметр
 металлорукава 12мм, М16х1,5,
 1ExdIICGb/1ExeIIСGb/0ExiaIICGa/2ExnRIIGc/E
 xtaIIICDa, IP 66/67/68, Никелированная латунь</v>
      </c>
      <c r="C376" s="9">
        <f ca="1">IFERROR(__xludf.DUMMYFUNCTION("""COMPUTED_VALUE"""),705.43)</f>
        <v>705.43</v>
      </c>
      <c r="D376" s="6"/>
      <c r="E376" s="8"/>
    </row>
    <row r="377" spans="1:5" ht="76.5">
      <c r="A377" s="5" t="str">
        <f ca="1">IFERROR(__xludf.DUMMYFUNCTION("""COMPUTED_VALUE"""),"ВН20 
 1ExdIICGb/1ExeIIСGb/0ExiaIICGa/2ExnRIIGc/ExtaIIICDa, IP 66/67/68, Ni")</f>
        <v>ВН20 
 1ExdIICGb/1ExeIIСGb/0ExiaIICGa/2ExnRIIGc/ExtaIIICDa, IP 66/67/68, Ni</v>
      </c>
      <c r="B377" s="6" t="str">
        <f ca="1">IFERROR(__xludf.DUMMYFUNCTION("""COMPUTED_VALUE"""),"ВН20 (-60+130) - Взрывозащищенный кабельный ввод для всех типов небронированного кабеля круглого сечения обжатие кабеля d 6-12мм, М20х1,5, IP 66/67/68, Никелированная латунь")</f>
        <v>ВН20 (-60+130) - Взрывозащищенный кабельный ввод для всех типов небронированного кабеля круглого сечения обжатие кабеля d 6-12мм, М20х1,5, IP 66/67/68, Никелированная латунь</v>
      </c>
      <c r="C377" s="9">
        <f ca="1">IFERROR(__xludf.DUMMYFUNCTION("""COMPUTED_VALUE"""),723.58)</f>
        <v>723.58</v>
      </c>
      <c r="D377" s="6"/>
      <c r="E377" s="8"/>
    </row>
    <row r="378" spans="1:5" ht="102">
      <c r="A378" s="5" t="str">
        <f ca="1">IFERROR(__xludf.DUMMYFUNCTION("""COMPUTED_VALUE"""),"ВН20 D1/2  (под трубу G1/2)
 1ExdIICGb/1ExeIIСGb/0ExiaIICGa/2ExnRIIGc/ExtaIIICDa, IP 66/67/68, Ni")</f>
        <v>ВН20 D1/2  (под трубу G1/2)
 1ExdIICGb/1ExeIIСGb/0ExiaIICGa/2ExnRIIGc/ExtaIIICDa, IP 66/67/68, Ni</v>
      </c>
      <c r="B378" s="6" t="str">
        <f ca="1">IFERROR(__xludf.DUMMYFUNCTION("""COMPUTED_VALUE"""),"ВН20D1/2 (-60+130) - Взрывозащищенный кабельный ввод для всех типов небронированного кабеля круглого сечения, проложенного в трубе, обжатие
 кабеля d 6-12мм, диаметр трубной резьбы G1/2, М20х1,5, IP 66/67/68, Никелированная латунь")</f>
        <v>ВН20D1/2 (-60+130) - Взрывозащищенный кабельный ввод для всех типов небронированного кабеля круглого сечения, проложенного в трубе, обжатие
 кабеля d 6-12мм, диаметр трубной резьбы G1/2, М20х1,5, IP 66/67/68, Никелированная латунь</v>
      </c>
      <c r="C378" s="9">
        <f ca="1">IFERROR(__xludf.DUMMYFUNCTION("""COMPUTED_VALUE"""),994.62)</f>
        <v>994.62</v>
      </c>
      <c r="D378" s="6"/>
      <c r="E378" s="8"/>
    </row>
    <row r="379" spans="1:5" ht="102">
      <c r="A379" s="5" t="str">
        <f ca="1">IFERROR(__xludf.DUMMYFUNCTION("""COMPUTED_VALUE"""),"ВН20 Мр15 (под металлорукав Ø15)
 1ExdIICGb/1ExeIIСGb/0ExiaIICGa/2ExnRIIGc/ExtaIIICDa, IP 66/67/68, Ni")</f>
        <v>ВН20 Мр15 (под металлорукав Ø15)
 1ExdIICGb/1ExeIIСGb/0ExiaIICGa/2ExnRIIGc/ExtaIIICDa, IP 66/67/68, Ni</v>
      </c>
      <c r="B379" s="6" t="str">
        <f ca="1">IFERROR(__xludf.DUMMYFUNCTION("""COMPUTED_VALUE"""),"ВН20Мр15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15мм, М20х1,5, IP 66/67/68, Никелированная латунь")</f>
        <v>ВН20Мр15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15мм, М20х1,5, IP 66/67/68, Никелированная латунь</v>
      </c>
      <c r="C379" s="9">
        <f ca="1">IFERROR(__xludf.DUMMYFUNCTION("""COMPUTED_VALUE"""),786.5)</f>
        <v>786.5</v>
      </c>
      <c r="D379" s="6"/>
      <c r="E379" s="8"/>
    </row>
    <row r="380" spans="1:5" ht="102">
      <c r="A380" s="5" t="str">
        <f ca="1">IFERROR(__xludf.DUMMYFUNCTION("""COMPUTED_VALUE"""),"ВН20 Мр16 (под металлорукав Ø16) 1ExdIICGb/1ExeIIСGb/0ExiaIICGa/2ExnRIIGc/ExtaIIICDa, IP 66/67/68, Ni")</f>
        <v>ВН20 Мр16 (под металлорукав Ø16) 1ExdIICGb/1ExeIIСGb/0ExiaIICGa/2ExnRIIGc/ExtaIIICDa, IP 66/67/68, Ni</v>
      </c>
      <c r="B380" s="6" t="str">
        <f ca="1">IFERROR(__xludf.DUMMYFUNCTION("""COMPUTED_VALUE"""),"ВН20Мр16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16мм, М20х1,5, IP 66/67/68, Никелированная латунь")</f>
        <v>ВН20Мр16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16мм, М20х1,5, IP 66/67/68, Никелированная латунь</v>
      </c>
      <c r="C380" s="9">
        <f ca="1">IFERROR(__xludf.DUMMYFUNCTION("""COMPUTED_VALUE"""),796)</f>
        <v>796</v>
      </c>
      <c r="D380" s="6"/>
      <c r="E380" s="8"/>
    </row>
    <row r="381" spans="1:5" ht="102">
      <c r="A381" s="5" t="str">
        <f ca="1">IFERROR(__xludf.DUMMYFUNCTION("""COMPUTED_VALUE"""),"ВН20 Мр20 (под металлорукав Ø20)
 1ExdIICGb/1ExeIIСGb/0ExiaIICGa/2ExnRIIGc/ExtaIIICDa, IP 66/67/68, Ni")</f>
        <v>ВН20 Мр20 (под металлорукав Ø20)
 1ExdIICGb/1ExeIIСGb/0ExiaIICGa/2ExnRIIGc/ExtaIIICDa, IP 66/67/68, Ni</v>
      </c>
      <c r="B381" s="6" t="str">
        <f ca="1">IFERROR(__xludf.DUMMYFUNCTION("""COMPUTED_VALUE"""),"ВН20Мр20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20мм, М20х1,5, IP 66/67/68, Никелированная латунь")</f>
        <v>ВН20Мр20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20мм, М20х1,5, IP 66/67/68, Никелированная латунь</v>
      </c>
      <c r="C381" s="9">
        <f ca="1">IFERROR(__xludf.DUMMYFUNCTION("""COMPUTED_VALUE"""),849.42)</f>
        <v>849.42</v>
      </c>
      <c r="D381" s="6"/>
      <c r="E381" s="8"/>
    </row>
    <row r="382" spans="1:5" ht="89.25">
      <c r="A382" s="5" t="str">
        <f ca="1">IFERROR(__xludf.DUMMYFUNCTION("""COMPUTED_VALUE"""),"ВА20 (под бронерукав)
 1ExdIICGb/1ExeIIСGb/0ExiaIICGa/2ExnRIIGc/ExtaIIICDa, IP 66/67/68, Ni")</f>
        <v>ВА20 (под бронерукав)
 1ExdIICGb/1ExeIIСGb/0ExiaIICGa/2ExnRIIGc/ExtaIIICDa, IP 66/67/68, Ni</v>
      </c>
      <c r="B382" s="6" t="str">
        <f ca="1">IFERROR(__xludf.DUMMYFUNCTION("""COMPUTED_VALUE"""),"ВА20 (-60+130) - взрывозащищённые кабельные вводы под все типы бронированного кабеля круглого сечения, с обжатием кабеля по наружной оболочке d 9-17мм (по внутренней оболочке d 6-12), М20х1,5, IP 66/67/68, Никелированная латунь")</f>
        <v>ВА20 (-60+130) - взрывозащищённые кабельные вводы под все типы бронированного кабеля круглого сечения, с обжатием кабеля по наружной оболочке d 9-17мм (по внутренней оболочке d 6-12), М20х1,5, IP 66/67/68, Никелированная латунь</v>
      </c>
      <c r="C382" s="9">
        <f ca="1">IFERROR(__xludf.DUMMYFUNCTION("""COMPUTED_VALUE"""),1085.37)</f>
        <v>1085.3699999999999</v>
      </c>
      <c r="D382" s="6"/>
      <c r="E382" s="8"/>
    </row>
    <row r="383" spans="1:5" ht="76.5">
      <c r="A383" s="5" t="str">
        <f ca="1">IFERROR(__xludf.DUMMYFUNCTION("""COMPUTED_VALUE"""),"ВН25 
 1ExdIICGb/1ExeIIСGb/0ExiaIICGa/2ExnRIIGc/ExtaIIICDa, 66/67/68, Ni")</f>
        <v>ВН25 
 1ExdIICGb/1ExeIIСGb/0ExiaIICGa/2ExnRIIGc/ExtaIIICDa, 66/67/68, Ni</v>
      </c>
      <c r="B383" s="6" t="str">
        <f ca="1">IFERROR(__xludf.DUMMYFUNCTION("""COMPUTED_VALUE"""),"ВН25 (-60+130) - Взрывозащищенный кабельный ввод для всех типов небронированного кабеля круглого сечения обжатие кабеля d 12-18мм, М25х1,5, 66/67/68, Никелированная латунь")</f>
        <v>ВН25 (-60+130) - Взрывозащищенный кабельный ввод для всех типов небронированного кабеля круглого сечения обжатие кабеля d 12-18мм, М25х1,5, 66/67/68, Никелированная латунь</v>
      </c>
      <c r="C383" s="9">
        <f ca="1">IFERROR(__xludf.DUMMYFUNCTION("""COMPUTED_VALUE"""),1156.76)</f>
        <v>1156.76</v>
      </c>
      <c r="D383" s="6"/>
      <c r="E383" s="8"/>
    </row>
    <row r="384" spans="1:5" ht="102">
      <c r="A384" s="5" t="str">
        <f ca="1">IFERROR(__xludf.DUMMYFUNCTION("""COMPUTED_VALUE"""),"ВН25Мр20 (под металлорукав Ø20)
 1ExdIICGb/1ExeIIСGb/0ExiaIICGa/2ExnRIIGc/E
 xtaIIICDa, IP 66/67/68, Ni")</f>
        <v>ВН25Мр20 (под металлорукав Ø20)
 1ExdIICGb/1ExeIIСGb/0ExiaIICGa/2ExnRIIGc/E
 xtaIIICDa, IP 66/67/68, Ni</v>
      </c>
      <c r="B384" s="6" t="str">
        <f ca="1">IFERROR(__xludf.DUMMYFUNCTION("""COMPUTED_VALUE"""),"ВН25Мр20 (-60+130) - Взрывозащищенный кабельный ввод для всех типов небронированного кабеля круглого сечения, проложенного в металлорукаве, обжатие кабеля d 12-17мм, условный диаметр металлорукава 20мм, М25х1,5, IP 66/67/68, Никелированная латунь")</f>
        <v>ВН25Мр20 (-60+130) - Взрывозащищенный кабельный ввод для всех типов небронированного кабеля круглого сечения, проложенного в металлорукаве, обжатие кабеля d 12-17мм, условный диаметр металлорукава 20мм, М25х1,5, IP 66/67/68, Никелированная латунь</v>
      </c>
      <c r="C384" s="9">
        <f ca="1">IFERROR(__xludf.DUMMYFUNCTION("""COMPUTED_VALUE"""),1301.96)</f>
        <v>1301.96</v>
      </c>
      <c r="D384" s="6"/>
      <c r="E384" s="8"/>
    </row>
    <row r="385" spans="1:5" ht="89.25">
      <c r="A385" s="5" t="str">
        <f ca="1">IFERROR(__xludf.DUMMYFUNCTION("""COMPUTED_VALUE"""),"ВН25D3/4 (под трубу G3/4)
 1ExdIICGb/1ExeIIСGb/0ExiaIICGa/2ExnRIIGc/E
 xtaIIICDa, IP 66/67/68, Ni")</f>
        <v>ВН25D3/4 (под трубу G3/4)
 1ExdIICGb/1ExeIIСGb/0ExiaIICGa/2ExnRIIGc/E
 xtaIIICDa, IP 66/67/68, Ni</v>
      </c>
      <c r="B385" s="6" t="str">
        <f ca="1">IFERROR(__xludf.DUMMYFUNCTION("""COMPUTED_VALUE"""),"ВН25D3/4 (-60+130) - Взрывозащищенный кабельный ввод для всех типов небронированного кабеля круглого сечения, проложенного в трубе, обжатие кабеля d12-18мм, диаметр трубной резьбы G3/4, М25х1,5, IP 66/67/68, Никелированная латунь")</f>
        <v>ВН25D3/4 (-60+130) - Взрывозащищенный кабельный ввод для всех типов небронированного кабеля круглого сечения, проложенного в трубе, обжатие кабеля d12-18мм, диаметр трубной резьбы G3/4, М25х1,5, IP 66/67/68, Никелированная латунь</v>
      </c>
      <c r="C385" s="9">
        <f ca="1">IFERROR(__xludf.DUMMYFUNCTION("""COMPUTED_VALUE"""),1780)</f>
        <v>1780</v>
      </c>
      <c r="D385" s="6"/>
      <c r="E385" s="8"/>
    </row>
    <row r="386" spans="1:5" ht="89.25">
      <c r="A386" s="5" t="str">
        <f ca="1">IFERROR(__xludf.DUMMYFUNCTION("""COMPUTED_VALUE"""),"ВА25 
 1ExdIICGb/1ExeIIСGb/0ExiaIICGa/2ExnRIIGc/ExtaIIICDa, IP 66/67/68, Ni")</f>
        <v>ВА25 
 1ExdIICGb/1ExeIIСGb/0ExiaIICGa/2ExnRIIGc/ExtaIIICDa, IP 66/67/68, Ni</v>
      </c>
      <c r="B386" s="6" t="str">
        <f ca="1">IFERROR(__xludf.DUMMYFUNCTION("""COMPUTED_VALUE"""),"ВА25 (-60+130) - Взрывозащищённые кабельные вводы под все типы бронированного кабеля круглого сечения, с обжатием кабеля по наружной оболочке d15-25мм (по внутренней оболочке d 12-18), М25х1,5, IP 66/67/68, Никелированная латунь")</f>
        <v>ВА25 (-60+130) - Взрывозащищённые кабельные вводы под все типы бронированного кабеля круглого сечения, с обжатием кабеля по наружной оболочке d15-25мм (по внутренней оболочке d 12-18), М25х1,5, IP 66/67/68, Никелированная латунь</v>
      </c>
      <c r="C386" s="9">
        <f ca="1">IFERROR(__xludf.DUMMYFUNCTION("""COMPUTED_VALUE"""),1657.7)</f>
        <v>1657.7</v>
      </c>
      <c r="D386" s="6"/>
      <c r="E386" s="8"/>
    </row>
    <row r="387" spans="1:5" ht="12.75">
      <c r="A387" s="5" t="str">
        <f ca="1">IFERROR(__xludf.DUMMYFUNCTION("""COMPUTED_VALUE"""),"Сальник D9")</f>
        <v>Сальник D9</v>
      </c>
      <c r="B387" s="6"/>
      <c r="C387" s="9">
        <f ca="1">IFERROR(__xludf.DUMMYFUNCTION("""COMPUTED_VALUE"""),5.9)</f>
        <v>5.9</v>
      </c>
      <c r="D387" s="6"/>
      <c r="E387" s="8"/>
    </row>
    <row r="388" spans="1:5" ht="12.75">
      <c r="A388" s="5" t="str">
        <f ca="1">IFERROR(__xludf.DUMMYFUNCTION("""COMPUTED_VALUE"""),"Сальник D15")</f>
        <v>Сальник D15</v>
      </c>
      <c r="B388" s="6"/>
      <c r="C388" s="9">
        <f ca="1">IFERROR(__xludf.DUMMYFUNCTION("""COMPUTED_VALUE"""),11.6)</f>
        <v>11.6</v>
      </c>
      <c r="D388" s="6"/>
      <c r="E388" s="8"/>
    </row>
    <row r="389" spans="1:5" ht="76.5">
      <c r="A389" s="5" t="str">
        <f ca="1">IFERROR(__xludf.DUMMYFUNCTION("""COMPUTED_VALUE"""),"ДПМГ-2-40 0Ex ia IIC T6 Ga/РО Ex ia I Ma
 ПАШК.425119.159")</f>
        <v>ДПМГ-2-40 0Ex ia IIC T6 Ga/РО Ex ia I Ma
 ПАШК.425119.159</v>
      </c>
      <c r="B389" s="6" t="str">
        <f ca="1">IFERROR(__xludf.DUMMYFUNCTION("""COMPUTED_VALUE"""),"Взрывозащищенный. Степень защиты оболочки – IP66/IP68.
Контакты гарантированно замыкаются при расстоянии между датчиком и магнитом 40 мм и гарантированно разомкнуты на расстоянии 100 мм")</f>
        <v>Взрывозащищенный. Степень защиты оболочки – IP66/IP68.
Контакты гарантированно замыкаются при расстоянии между датчиком и магнитом 40 мм и гарантированно разомкнуты на расстоянии 100 мм</v>
      </c>
      <c r="C389" s="9">
        <f ca="1">IFERROR(__xludf.DUMMYFUNCTION("""COMPUTED_VALUE"""),7735)</f>
        <v>7735</v>
      </c>
      <c r="D389" s="6"/>
      <c r="E389" s="8"/>
    </row>
    <row r="390" spans="1:5" ht="76.5">
      <c r="A390" s="5" t="str">
        <f ca="1">IFERROR(__xludf.DUMMYFUNCTION("""COMPUTED_VALUE"""),"ДПМГ-2-100 0Ex ia IIC T6 Ga/РО Ex ia I Ma
 ПАШК.425119.159")</f>
        <v>ДПМГ-2-100 0Ex ia IIC T6 Ga/РО Ex ia I Ma
 ПАШК.425119.159</v>
      </c>
      <c r="B390" s="6" t="str">
        <f ca="1">IFERROR(__xludf.DUMMYFUNCTION("""COMPUTED_VALUE"""),"Взрывозащищенный. Степень защиты оболочки – IP66/IP68
Контакты гарантированно замыкаются при расстоянии между датчиком и магнитом 100 мм и гарантированно разомкнуты на расстоянии 160 мм.")</f>
        <v>Взрывозащищенный. Степень защиты оболочки – IP66/IP68
Контакты гарантированно замыкаются при расстоянии между датчиком и магнитом 100 мм и гарантированно разомкнуты на расстоянии 160 мм.</v>
      </c>
      <c r="C390" s="9">
        <f ca="1">IFERROR(__xludf.DUMMYFUNCTION("""COMPUTED_VALUE"""),8857)</f>
        <v>8857</v>
      </c>
      <c r="D390" s="6"/>
      <c r="E390" s="8"/>
    </row>
    <row r="391" spans="1:5" ht="76.5">
      <c r="A391" s="5" t="str">
        <f ca="1">IFERROR(__xludf.DUMMYFUNCTION("""COMPUTED_VALUE"""),"ДПМГ-2-200 0Ex ia IIC T6 Ga/РО Ex ia I Ma
 ПАШК.425119.159")</f>
        <v>ДПМГ-2-200 0Ex ia IIC T6 Ga/РО Ex ia I Ma
 ПАШК.425119.159</v>
      </c>
      <c r="B391" s="6" t="str">
        <f ca="1">IFERROR(__xludf.DUMMYFUNCTION("""COMPUTED_VALUE"""),"Взрывозащищенный. Степень защиты оболочки – IP66/IP68
Контакты гарантированно замыкаются при расстоянии между датчиком и магнитом 200 мм и гарантированно разомкнуты на расстоянии 260 мм.")</f>
        <v>Взрывозащищенный. Степень защиты оболочки – IP66/IP68
Контакты гарантированно замыкаются при расстоянии между датчиком и магнитом 200 мм и гарантированно разомкнуты на расстоянии 260 мм.</v>
      </c>
      <c r="C391" s="9">
        <f ca="1">IFERROR(__xludf.DUMMYFUNCTION("""COMPUTED_VALUE"""),9977)</f>
        <v>9977</v>
      </c>
      <c r="D391" s="6"/>
      <c r="E391" s="8"/>
    </row>
    <row r="392" spans="1:5" ht="63.75">
      <c r="A392" s="5" t="str">
        <f ca="1">IFERROR(__xludf.DUMMYFUNCTION("""COMPUTED_VALUE"""),"ДПМГ-2-40 (Общепромышленное исполнение)
 ПАШК.425119.159")</f>
        <v>ДПМГ-2-40 (Общепромышленное исполнение)
 ПАШК.425119.159</v>
      </c>
      <c r="B392" s="6" t="str">
        <f ca="1">IFERROR(__xludf.DUMMYFUNCTION("""COMPUTED_VALUE"""),"IP66/IP68. Контакты гарантированно замыкаются при расстоянии между датчиком и магнитом 40 мм и гарантированно разомкнуты на расстоянии 100 мм")</f>
        <v>IP66/IP68. Контакты гарантированно замыкаются при расстоянии между датчиком и магнитом 40 мм и гарантированно разомкнуты на расстоянии 100 мм</v>
      </c>
      <c r="C392" s="9">
        <f ca="1">IFERROR(__xludf.DUMMYFUNCTION("""COMPUTED_VALUE"""),5980)</f>
        <v>5980</v>
      </c>
      <c r="D392" s="6"/>
      <c r="E392" s="8"/>
    </row>
    <row r="393" spans="1:5" ht="63.75">
      <c r="A393" s="5" t="str">
        <f ca="1">IFERROR(__xludf.DUMMYFUNCTION("""COMPUTED_VALUE"""),"ДПМГ-2-100 (Общепромышленное исполнение)
 ПАШК.425119.159")</f>
        <v>ДПМГ-2-100 (Общепромышленное исполнение)
 ПАШК.425119.159</v>
      </c>
      <c r="B393" s="6" t="str">
        <f ca="1">IFERROR(__xludf.DUMMYFUNCTION("""COMPUTED_VALUE"""),"IP66/IP68. Контакты гарантированно замыкаются при расстоянии между датчиком и магнитом 100 мм и гарантированно разомкнуты на расстоянии 160 мм.")</f>
        <v>IP66/IP68. Контакты гарантированно замыкаются при расстоянии между датчиком и магнитом 100 мм и гарантированно разомкнуты на расстоянии 160 мм.</v>
      </c>
      <c r="C393" s="9">
        <f ca="1">IFERROR(__xludf.DUMMYFUNCTION("""COMPUTED_VALUE"""),6913)</f>
        <v>6913</v>
      </c>
      <c r="D393" s="6"/>
      <c r="E393" s="8"/>
    </row>
    <row r="394" spans="1:5" ht="63.75">
      <c r="A394" s="5" t="str">
        <f ca="1">IFERROR(__xludf.DUMMYFUNCTION("""COMPUTED_VALUE"""),"ДПМГ-2-200 (Общепромышленное исполнение)
 ПАШК.425119.159")</f>
        <v>ДПМГ-2-200 (Общепромышленное исполнение)
 ПАШК.425119.159</v>
      </c>
      <c r="B394" s="6" t="str">
        <f ca="1">IFERROR(__xludf.DUMMYFUNCTION("""COMPUTED_VALUE"""),"IP66/IP68. Контакты гарантированно замыкаются при расстоянии между датчиком и магнитом 200 мм и гарантированно разомкнуты на расстоянии 260 мм.")</f>
        <v>IP66/IP68. Контакты гарантированно замыкаются при расстоянии между датчиком и магнитом 200 мм и гарантированно разомкнуты на расстоянии 260 мм.</v>
      </c>
      <c r="C394" s="9">
        <f ca="1">IFERROR(__xludf.DUMMYFUNCTION("""COMPUTED_VALUE"""),7755)</f>
        <v>7755</v>
      </c>
      <c r="D394" s="6"/>
      <c r="E394" s="8"/>
    </row>
    <row r="395" spans="1:5" ht="114.75">
      <c r="A395" s="5" t="str">
        <f ca="1">IFERROR(__xludf.DUMMYFUNCTION("""COMPUTED_VALUE"""),"ДПМГ-2-40  ПАШК.425119.159  со встроенными резисторами")</f>
        <v>ДПМГ-2-40  ПАШК.425119.159  со встроенными резисторами</v>
      </c>
      <c r="B395" s="6" t="str">
        <f ca="1">IFERROR(__xludf.DUMMYFUNCTION("""COMPUTED_VALUE"""),"Контакты датчика ДПМГ-2-40 гарантированно замыкаются при расстоянии между датчиком и магнитом 40 мм и гарантированно разомкнуты на расстоянии 100 мм.Датчики изготавливаются со встроенными резисторами R1 = 1 кОм*, R2 = 10 кОм* (* по требованию заказчика но"&amp;"миналы резисторов могут быть любыми) ")</f>
        <v xml:space="preserve">Контакты датчика ДПМГ-2-40 гарантированно замыкаются при расстоянии между датчиком и магнитом 40 мм и гарантированно разомкнуты на расстоянии 100 мм.Датчики изготавливаются со встроенными резисторами R1 = 1 кОм*, R2 = 10 кОм* (* по требованию заказчика номиналы резисторов могут быть любыми) </v>
      </c>
      <c r="C395" s="9">
        <f ca="1">IFERROR(__xludf.DUMMYFUNCTION("""COMPUTED_VALUE"""),6160)</f>
        <v>6160</v>
      </c>
      <c r="D395" s="6"/>
      <c r="E395" s="8"/>
    </row>
    <row r="396" spans="1:5" ht="114.75">
      <c r="A396" s="5" t="str">
        <f ca="1">IFERROR(__xludf.DUMMYFUNCTION("""COMPUTED_VALUE"""),"ДПМГ-2-100 ПАШК.425119.159 со встроенными резисторами")</f>
        <v>ДПМГ-2-100 ПАШК.425119.159 со встроенными резисторами</v>
      </c>
      <c r="B396" s="6" t="str">
        <f ca="1">IFERROR(__xludf.DUMMYFUNCTION("""COMPUTED_VALUE"""),"Контакты датчика ДПМГ-2-100 гарантированно замыкаются при расстоянии между датчиком и магнитом 100 мм и гарантированно разомкнуты на расстоянии 160 мм..Датчики изготавливаются со встроенными резисторами R1 = 1 кОм*, R2 = 10 кОм* (* по требованию заказчика"&amp;" номиналы резисторов могут быть любыми) ")</f>
        <v xml:space="preserve">Контакты датчика ДПМГ-2-100 гарантированно замыкаются при расстоянии между датчиком и магнитом 100 мм и гарантированно разомкнуты на расстоянии 160 мм..Датчики изготавливаются со встроенными резисторами R1 = 1 кОм*, R2 = 10 кОм* (* по требованию заказчика номиналы резисторов могут быть любыми) </v>
      </c>
      <c r="C396" s="9">
        <f ca="1">IFERROR(__xludf.DUMMYFUNCTION("""COMPUTED_VALUE"""),7100)</f>
        <v>7100</v>
      </c>
      <c r="D396" s="6"/>
      <c r="E396" s="8"/>
    </row>
    <row r="397" spans="1:5" ht="114.75">
      <c r="A397" s="5" t="str">
        <f ca="1">IFERROR(__xludf.DUMMYFUNCTION("""COMPUTED_VALUE"""),"ДПМГ-2-200 ПАШК.425119.159  со встроенными резисторами")</f>
        <v>ДПМГ-2-200 ПАШК.425119.159  со встроенными резисторами</v>
      </c>
      <c r="B397" s="6" t="str">
        <f ca="1">IFERROR(__xludf.DUMMYFUNCTION("""COMPUTED_VALUE"""),"Контакты датчика ДПМГ-2-200 гарантированно замыкаются при расстоянии между датчиком и магнитом 200 мм и гарантированно разомкнуты на расстоянии 260 мм.Датчики изготавливаются со встроенными резисторами R1 = 1 кОм*, R2 = 10 кОм* (* по требованию заказчика "&amp;"номиналы резисторов могут быть любыми) ")</f>
        <v xml:space="preserve">Контакты датчика ДПМГ-2-200 гарантированно замыкаются при расстоянии между датчиком и магнитом 200 мм и гарантированно разомкнуты на расстоянии 260 мм.Датчики изготавливаются со встроенными резисторами R1 = 1 кОм*, R2 = 10 кОм* (* по требованию заказчика номиналы резисторов могут быть любыми) </v>
      </c>
      <c r="C397" s="9">
        <f ca="1">IFERROR(__xludf.DUMMYFUNCTION("""COMPUTED_VALUE"""),7917)</f>
        <v>7917</v>
      </c>
      <c r="D397" s="6"/>
      <c r="E397" s="8"/>
    </row>
    <row r="398" spans="1:5" ht="51">
      <c r="A398" s="5" t="str">
        <f ca="1">IFERROR(__xludf.DUMMYFUNCTION("""COMPUTED_VALUE"""),"ДПМГР-2 0Ex ia IIC T6 Ga Х/РО Ex ia I Ma Х ПАШК.425119.161")</f>
        <v>ДПМГР-2 0Ex ia IIC T6 Ga Х/РО Ex ia I Ma Х ПАШК.425119.161</v>
      </c>
      <c r="B398" s="6" t="str">
        <f ca="1">IFERROR(__xludf.DUMMYFUNCTION("""COMPUTED_VALUE"""),"Взрывозащищенный. Степень защиты оболочки – IP66/IP68. 
НР, вывод 1м*×ПВС 2×0.75 (двойная изоляция)")</f>
        <v>Взрывозащищенный. Степень защиты оболочки – IP66/IP68. 
НР, вывод 1м*×ПВС 2×0.75 (двойная изоляция)</v>
      </c>
      <c r="C398" s="9">
        <f ca="1">IFERROR(__xludf.DUMMYFUNCTION("""COMPUTED_VALUE"""),6413)</f>
        <v>6413</v>
      </c>
      <c r="D398" s="6"/>
      <c r="E398" s="8"/>
    </row>
    <row r="399" spans="1:5" ht="76.5">
      <c r="A399" s="5" t="str">
        <f ca="1">IFERROR(__xludf.DUMMYFUNCTION("""COMPUTED_VALUE"""),"Ех ИО102 N исп.200 с магнитом М-50 1Ex d IIC T6 Gb / РB Ex d I Mb АТФЕ.425119.171")</f>
        <v>Ех ИО102 N исп.200 с магнитом М-50 1Ex d IIC T6 Gb / РB Ex d I Mb АТФЕ.425119.171</v>
      </c>
      <c r="B399"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100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100 мм , Uкомут. – 0,02-27 В, Iкоммут. -0.01-0.25 А, Pкоммут. не более 10 Вт IP66/IP67</v>
      </c>
      <c r="C399" s="9">
        <f ca="1">IFERROR(__xludf.DUMMYFUNCTION("""COMPUTED_VALUE"""),17072)</f>
        <v>17072</v>
      </c>
      <c r="D399" s="6"/>
      <c r="E399" s="8"/>
    </row>
    <row r="400" spans="1:5" ht="76.5">
      <c r="A400" s="5" t="str">
        <f ca="1">IFERROR(__xludf.DUMMYFUNCTION("""COMPUTED_VALUE"""),"Ех ИО102 N исп.200 с магнитом М-100 
1Ex d IIC T6 Gb / РB Ex d I Mb
АТФЕ.425119.171")</f>
        <v>Ех ИО102 N исп.200 с магнитом М-100 
1Ex d IIC T6 Gb / РB Ex d I Mb
АТФЕ.425119.171</v>
      </c>
      <c r="B400"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v>
      </c>
      <c r="C400" s="9">
        <f ca="1">IFERROR(__xludf.DUMMYFUNCTION("""COMPUTED_VALUE"""),13776.653)</f>
        <v>13776.653</v>
      </c>
      <c r="D400" s="6"/>
      <c r="E400" s="8"/>
    </row>
    <row r="401" spans="1:5" ht="76.5">
      <c r="A401" s="5" t="str">
        <f ca="1">IFERROR(__xludf.DUMMYFUNCTION("""COMPUTED_VALUE"""),"Ех ИО102 N исп.200 с магнитом М-150 1Ex d IIC T6 Gb / РB Ex d I Mb АТФЕ.425119.171")</f>
        <v>Ех ИО102 N исп.200 с магнитом М-150 1Ex d IIC T6 Gb / РB Ex d I Mb АТФЕ.425119.171</v>
      </c>
      <c r="B401"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01" s="9">
        <f ca="1">IFERROR(__xludf.DUMMYFUNCTION("""COMPUTED_VALUE"""),13776.653)</f>
        <v>13776.653</v>
      </c>
      <c r="D401" s="6"/>
      <c r="E401" s="8"/>
    </row>
    <row r="402" spans="1:5" ht="76.5">
      <c r="A402" s="5" t="str">
        <f ca="1">IFERROR(__xludf.DUMMYFUNCTION("""COMPUTED_VALUE"""),"Ех ИО102 N исп.200 с магнитом М-175 1Ex d IIC T6 Gb / РB Ex d I Mb АТФЕ.425119.171")</f>
        <v>Ех ИО102 N исп.200 с магнитом М-175 1Ex d IIC T6 Gb / РB Ex d I Mb АТФЕ.425119.171</v>
      </c>
      <c r="B402"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40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40 мм , Uкомут. – 0,02-27 В, Iкоммут. -0.01-0.25 А, Pкоммут. не более 10 Вт IP66/IP67</v>
      </c>
      <c r="C402" s="9">
        <f ca="1">IFERROR(__xludf.DUMMYFUNCTION("""COMPUTED_VALUE"""),13776.653)</f>
        <v>13776.653</v>
      </c>
      <c r="D402" s="6"/>
      <c r="E402" s="8"/>
    </row>
    <row r="403" spans="1:5" ht="76.5">
      <c r="A403" s="5" t="str">
        <f ca="1">IFERROR(__xludf.DUMMYFUNCTION("""COMPUTED_VALUE"""),"Ех ИО102 N исп.250 с магнитом М-100 
1Ex d IIC T6 Gb / РB Ex d I Mb
АТФЕ.425119.171")</f>
        <v>Ех ИО102 N исп.250 с магнитом М-100 
1Ex d IIC T6 Gb / РB Ex d I Mb
АТФЕ.425119.171</v>
      </c>
      <c r="B403"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v>
      </c>
      <c r="C403" s="9">
        <f ca="1">IFERROR(__xludf.DUMMYFUNCTION("""COMPUTED_VALUE"""),14084.642)</f>
        <v>14084.642</v>
      </c>
      <c r="D403" s="6"/>
      <c r="E403" s="8"/>
    </row>
    <row r="404" spans="1:5" ht="76.5">
      <c r="A404" s="5" t="str">
        <f ca="1">IFERROR(__xludf.DUMMYFUNCTION("""COMPUTED_VALUE"""),"Ех ИО102 N исп.300 с магнитом М-100 
1Ex d IIC T6 Gb / РB Ex d I Mb
АТФЕ.425119.171")</f>
        <v>Ех ИО102 N исп.300 с магнитом М-100 
1Ex d IIC T6 Gb / РB Ex d I Mb
АТФЕ.425119.171</v>
      </c>
      <c r="B404" s="6" t="str">
        <f ca="1">IFERROR(__xludf.DUMMYFUNCTION("""COMPUTED_VALUE"""),"корпус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v>
      </c>
      <c r="C404" s="9">
        <f ca="1">IFERROR(__xludf.DUMMYFUNCTION("""COMPUTED_VALUE"""),14789.5)</f>
        <v>14789.5</v>
      </c>
      <c r="D404" s="6"/>
      <c r="E404" s="8"/>
    </row>
    <row r="405" spans="1:5" ht="76.5">
      <c r="A405" s="5" t="str">
        <f ca="1">IFERROR(__xludf.DUMMYFUNCTION("""COMPUTED_VALUE"""),"Ех ИО102 N исп.200 с магнитом М-200 
1Ex d IIC T6 Gb / РB Ex d I Mb
АТФЕ.425119.171")</f>
        <v>Ех ИО102 N исп.200 с магнитом М-200 
1Ex d IIC T6 Gb / РB Ex d I Mb
АТФЕ.425119.171</v>
      </c>
      <c r="B405"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05" s="9">
        <f ca="1">IFERROR(__xludf.DUMMYFUNCTION("""COMPUTED_VALUE"""),10208)</f>
        <v>10208</v>
      </c>
      <c r="D405" s="6"/>
      <c r="E405" s="8"/>
    </row>
    <row r="406" spans="1:5" ht="76.5">
      <c r="A406" s="5" t="str">
        <f ca="1">IFERROR(__xludf.DUMMYFUNCTION("""COMPUTED_VALUE"""),"Ех ИО102 N исп.200 с магнитом М-250 1Ex d IIC T6 Gb / РB Ex d I Mb АТФЕ.425119.171")</f>
        <v>Ех ИО102 N исп.200 с магнитом М-250 1Ex d IIC T6 Gb / РB Ex d I Mb АТФЕ.425119.171</v>
      </c>
      <c r="B406"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30 мм , Uкомут. – 0,02-27 В, Iкоммут. -0.01-0.25 А, Pкоммут. не более 10 Вт IP66/IP67</v>
      </c>
      <c r="C406" s="9">
        <f ca="1">IFERROR(__xludf.DUMMYFUNCTION("""COMPUTED_VALUE"""),10208)</f>
        <v>10208</v>
      </c>
      <c r="D406" s="6"/>
      <c r="E406" s="8"/>
    </row>
    <row r="407" spans="1:5" ht="76.5">
      <c r="A407" s="5" t="str">
        <f ca="1">IFERROR(__xludf.DUMMYFUNCTION("""COMPUTED_VALUE"""),"Ех ИО102 N исп.200 с магнитом М-275 1Ex d IIC T6 Gb / РB Ex d I Mb АТФЕ.425119.171")</f>
        <v>Ех ИО102 N исп.200 с магнитом М-275 1Ex d IIC T6 Gb / РB Ex d I Mb АТФЕ.425119.171</v>
      </c>
      <c r="B407"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20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20 мм , Uкомут. – 0,02-27 В, Iкоммут. -0.01-0.25 А, Pкоммут. не более 10 Вт IP66/IP67</v>
      </c>
      <c r="C407" s="9">
        <f ca="1">IFERROR(__xludf.DUMMYFUNCTION("""COMPUTED_VALUE"""),10208)</f>
        <v>10208</v>
      </c>
      <c r="D407" s="6"/>
      <c r="E407" s="8"/>
    </row>
    <row r="408" spans="1:5" ht="76.5">
      <c r="A408" s="5" t="str">
        <f ca="1">IFERROR(__xludf.DUMMYFUNCTION("""COMPUTED_VALUE"""),"Ех ИО102 N исп.250 с магнитом М-200 
1Ex d IIC T6 Gb / РB Ex d I Mb
АТФЕ.425119.171")</f>
        <v>Ех ИО102 N исп.250 с магнитом М-200 
1Ex d IIC T6 Gb / РB Ex d I Mb
АТФЕ.425119.171</v>
      </c>
      <c r="B408"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v>
      </c>
      <c r="C408" s="9">
        <f ca="1">IFERROR(__xludf.DUMMYFUNCTION("""COMPUTED_VALUE"""),10624.042)</f>
        <v>10624.041999999999</v>
      </c>
      <c r="D408" s="6"/>
      <c r="E408" s="8"/>
    </row>
    <row r="409" spans="1:5" ht="76.5">
      <c r="A409" s="5" t="str">
        <f ca="1">IFERROR(__xludf.DUMMYFUNCTION("""COMPUTED_VALUE"""),"Ех ИО102 N исп.300 с магнитом М-200 
1Ex d IIC T6 Gb / РB Ex d I Mb
АТФЕ.425119.171")</f>
        <v>Ех ИО102 N исп.300 с магнитом М-200 
1Ex d IIC T6 Gb / РB Ex d I Mb
АТФЕ.425119.171</v>
      </c>
      <c r="B409" s="6" t="str">
        <f ca="1">IFERROR(__xludf.DUMMYFUNCTION("""COMPUTED_VALUE"""),"корпус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v>
      </c>
      <c r="C409" s="9">
        <f ca="1">IFERROR(__xludf.DUMMYFUNCTION("""COMPUTED_VALUE"""),10703)</f>
        <v>10703</v>
      </c>
      <c r="D409" s="6"/>
      <c r="E409" s="8"/>
    </row>
    <row r="410" spans="1:5" ht="76.5">
      <c r="A410" s="5" t="str">
        <f ca="1">IFERROR(__xludf.DUMMYFUNCTION("""COMPUTED_VALUE"""),"Eх ИО102 N исп.200 с магнитом М-300 
1Ex d IIC T6 Gb / РB Ex d I Mb 
АТФЕ.425119.171")</f>
        <v>Eх ИО102 N исп.200 с магнитом М-300 
1Ex d IIC T6 Gb / РB Ex d I Mb 
АТФЕ.425119.171</v>
      </c>
      <c r="B410"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10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10 мм , Uкомут. – 0,02-27 В, Iкоммут. -0.01-0.25 А, Pкоммут. не более 10 Вт IP66/IP67</v>
      </c>
      <c r="C410" s="9">
        <f ca="1">IFERROR(__xludf.DUMMYFUNCTION("""COMPUTED_VALUE"""),10208)</f>
        <v>10208</v>
      </c>
      <c r="D410" s="6"/>
      <c r="E410" s="8"/>
    </row>
    <row r="411" spans="1:5" ht="102">
      <c r="A411" s="5" t="str">
        <f ca="1">IFERROR(__xludf.DUMMYFUNCTION("""COMPUTED_VALUE"""),"Ех ИО102 N исп.200 с магнитом М-100, с постоянно присоединенным кабелем в металлорукаве 
1Ex d IIC T6 Gb / РB Ex d I Mb
АТФЕ.425119.171")</f>
        <v>Ех ИО102 N исп.200 с магнитом М-100, с постоянно присоединенным кабелем в металлорукаве 
1Ex d IIC T6 Gb / РB Ex d I Mb
АТФЕ.425119.171</v>
      </c>
      <c r="B411"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боле"&amp;"е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более 10 Вт IP66/IP67</v>
      </c>
      <c r="C411" s="9">
        <f ca="1">IFERROR(__xludf.DUMMYFUNCTION("""COMPUTED_VALUE"""),11182.501)</f>
        <v>11182.501</v>
      </c>
      <c r="D411" s="6"/>
      <c r="E411" s="8"/>
    </row>
    <row r="412" spans="1:5" ht="102">
      <c r="A412" s="5" t="str">
        <f ca="1">IFERROR(__xludf.DUMMYFUNCTION("""COMPUTED_VALUE"""),"Ех ИО102 N исп.250 с магнитом М-100, с постоянно присоединенным кабелем в металлорукаве 
1Ex d IIC T6 Gb / РB Ex d I Mb
АТФЕ.425119.171")</f>
        <v>Ех ИО102 N исп.250 с магнитом М-100, с постоянно присоединенным кабелем в металлорукаве 
1Ex d IIC T6 Gb / РB Ex d I Mb
АТФЕ.425119.171</v>
      </c>
      <c r="B412"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более"&amp;" 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 10 Вт IP66/IP67</v>
      </c>
      <c r="C412" s="9">
        <f ca="1">IFERROR(__xludf.DUMMYFUNCTION("""COMPUTED_VALUE"""),11482.273)</f>
        <v>11482.272999999999</v>
      </c>
      <c r="D412" s="6"/>
      <c r="E412" s="8"/>
    </row>
    <row r="413" spans="1:5" ht="102">
      <c r="A413" s="5" t="str">
        <f ca="1">IFERROR(__xludf.DUMMYFUNCTION("""COMPUTED_VALUE"""),"Ех ИО102 N исп.300 с магнитом М-100, с постоянно присоединенным кабелем в металлорукаве 
1Ex d IIC T6 Gb / РB Ex d I Mb
АТФЕ.425119.171")</f>
        <v>Ех ИО102 N исп.300 с магнитом М-100, с постоянно присоединенным кабелем в металлорукаве 
1Ex d IIC T6 Gb / РB Ex d I Mb
АТФЕ.425119.171</v>
      </c>
      <c r="B413"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Вт"&amp;" 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 IP66/IP67</v>
      </c>
      <c r="C413" s="9">
        <f ca="1">IFERROR(__xludf.DUMMYFUNCTION("""COMPUTED_VALUE"""),12056)</f>
        <v>12056</v>
      </c>
      <c r="D413" s="6"/>
      <c r="E413" s="8"/>
    </row>
    <row r="414" spans="1:5" ht="102">
      <c r="A414" s="5" t="str">
        <f ca="1">IFERROR(__xludf.DUMMYFUNCTION("""COMPUTED_VALUE"""),"Ех ИО102 N исп.200, с магнитом М-200, с постоянно присоединенным кабелем в металлорукаве 
1Ex d IIC T6 Gb /  РB Ex d I Mb
АТФЕ.425119.171")</f>
        <v>Ех ИО102 N исп.200, с магнитом М-200, с постоянно присоединенным кабелем в металлорукаве 
1Ex d IIC T6 Gb /  РB Ex d I Mb
АТФЕ.425119.171</v>
      </c>
      <c r="B414"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более 10 Вт IP66/IP67</v>
      </c>
      <c r="C414" s="9">
        <f ca="1">IFERROR(__xludf.DUMMYFUNCTION("""COMPUTED_VALUE"""),7921.309)</f>
        <v>7921.3090000000002</v>
      </c>
      <c r="D414" s="6"/>
      <c r="E414" s="8"/>
    </row>
    <row r="415" spans="1:5" ht="102">
      <c r="A415" s="5" t="str">
        <f ca="1">IFERROR(__xludf.DUMMYFUNCTION("""COMPUTED_VALUE"""),"Ех ИО102 N исп.250, с магнитом М-200, с постоянно присоединенным кабелем в металлорукаве 
1Ex d IIC T6 Gb / РB Ex d I Mb
АТФЕ.425119.171")</f>
        <v>Ех ИО102 N исп.250, с магнитом М-200, с постоянно присоединенным кабелем в металлорукаве 
1Ex d IIC T6 Gb / РB Ex d I Mb
АТФЕ.425119.171</v>
      </c>
      <c r="B415"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"&amp;"10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10 Вт IP66/IP67</v>
      </c>
      <c r="C415" s="9">
        <f ca="1">IFERROR(__xludf.DUMMYFUNCTION("""COMPUTED_VALUE"""),8193.845)</f>
        <v>8193.8449999999993</v>
      </c>
      <c r="D415" s="6"/>
      <c r="E415" s="8"/>
    </row>
    <row r="416" spans="1:5" ht="102">
      <c r="A416" s="5" t="str">
        <f ca="1">IFERROR(__xludf.DUMMYFUNCTION("""COMPUTED_VALUE"""),"Ех ИО102 N исп.300 с магнитом М-200, с постоянно присоединенным кабелем в металлорукаве 
1Ex d IIC T6 Gb / РB Ex d I Mb
АТФЕ.425119.171")</f>
        <v>Ех ИО102 N исп.300 с магнитом М-200, с постоянно присоединенным кабелем в металлорукаве 
1Ex d IIC T6 Gb / РB Ex d I Mb
АТФЕ.425119.171</v>
      </c>
      <c r="B416"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"&amp;"IP66/IP67")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IP66/IP67</v>
      </c>
      <c r="C416" s="9">
        <f ca="1">IFERROR(__xludf.DUMMYFUNCTION("""COMPUTED_VALUE"""),8602)</f>
        <v>8602</v>
      </c>
      <c r="D416" s="6"/>
      <c r="E416" s="8"/>
    </row>
    <row r="417" spans="1:5" ht="102">
      <c r="A417" s="5" t="str">
        <f ca="1">IFERROR(__xludf.DUMMYFUNCTION("""COMPUTED_VALUE"""),"Ех ИО102 N исп.200, с магнитом М-300, с постоянно присоединенным кабелем в металлорукаве 
1Ex d IIC T6 Gb / РB Ex d I Mb 
АТФЕ.425119.171")</f>
        <v>Ех ИО102 N исп.200, с магнитом М-300, с постоянно присоединенным кабелем в металлорукаве 
1Ex d IIC T6 Gb / РB Ex d I Mb 
АТФЕ.425119.171</v>
      </c>
      <c r="B417"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10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10 мм , Uкомут. – 0,02-27 В, Iкоммут. -0.01-0.25 А, Pкоммут. не более 10 Вт IP66/IP67</v>
      </c>
      <c r="C417" s="9">
        <f ca="1">IFERROR(__xludf.DUMMYFUNCTION("""COMPUTED_VALUE"""),7921.309)</f>
        <v>7921.3090000000002</v>
      </c>
      <c r="D417" s="6"/>
      <c r="E417" s="8"/>
    </row>
    <row r="418" spans="1:5" ht="102">
      <c r="A418" s="5" t="str">
        <f ca="1">IFERROR(__xludf.DUMMYFUNCTION("""COMPUTED_VALUE"""),"Ех ИО102 N исп.211 (торцевой), с постоянно присоединенным кабелем 
1Ex d IIC T6 Gb / РB Ex d I Mb
АТФЕ.425119.171")</f>
        <v>Ех ИО102 N исп.211 (торцевой), с постоянно присоединенным кабелем 
1Ex d IIC T6 Gb / РB Ex d I Mb
АТФЕ.425119.171</v>
      </c>
      <c r="B418"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более 10 Вт IP66/IP67</v>
      </c>
      <c r="C418" s="9">
        <f ca="1">IFERROR(__xludf.DUMMYFUNCTION("""COMPUTED_VALUE"""),6358.858)</f>
        <v>6358.8580000000002</v>
      </c>
      <c r="D418" s="6"/>
      <c r="E418" s="8"/>
    </row>
    <row r="419" spans="1:5" ht="102">
      <c r="A419" s="5" t="str">
        <f ca="1">IFERROR(__xludf.DUMMYFUNCTION("""COMPUTED_VALUE"""),"Ех ИО102 N исп.251 (торцевой), с постоянно присоединенным кабелем 
1Ex d IIC T6 Gb / РB Ex d I Mb
АТФЕ.425119.171")</f>
        <v>Ех ИО102 N исп.251 (торцевой), с постоянно присоединенным кабелем 
1Ex d IIC T6 Gb / РB Ex d I Mb
АТФЕ.425119.171</v>
      </c>
      <c r="B419"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"&amp;"10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10 Вт IP66/IP67</v>
      </c>
      <c r="C419" s="9">
        <f ca="1">IFERROR(__xludf.DUMMYFUNCTION("""COMPUTED_VALUE"""),6667.716)</f>
        <v>6667.7160000000003</v>
      </c>
      <c r="D419" s="6"/>
      <c r="E419" s="8"/>
    </row>
    <row r="420" spans="1:5" ht="102">
      <c r="A420" s="5" t="str">
        <f ca="1">IFERROR(__xludf.DUMMYFUNCTION("""COMPUTED_VALUE"""),"Ех ИО102 N исп.301 (торцевой), с постоянно присоединенным кабелем
1Ex d IIC T6 Gb / РB Ex d I Mb
АТФЕ.425119.171")</f>
        <v>Ех ИО102 N исп.301 (торцевой), с постоянно присоединенным кабелем
1Ex d IIC T6 Gb / РB Ex d I Mb
АТФЕ.425119.171</v>
      </c>
      <c r="B420"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I"&amp;"P66/IP67")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IP66/IP67</v>
      </c>
      <c r="C420" s="9">
        <f ca="1">IFERROR(__xludf.DUMMYFUNCTION("""COMPUTED_VALUE"""),7001.5)</f>
        <v>7001.5</v>
      </c>
      <c r="D420" s="6"/>
      <c r="E420" s="8"/>
    </row>
    <row r="421" spans="1:5" ht="114.75">
      <c r="A421" s="5" t="str">
        <f ca="1">IFERROR(__xludf.DUMMYFUNCTION("""COMPUTED_VALUE"""),"Ех ИО102 N исп.200 FRHF с магнитом М-100, с постоянно присоединенным кабелем FRHF в металлорукаве 
 1Ex d IIC T6 Gb / РB Ex d I Mb
 АТФЕ.425119.171")</f>
        <v>Ех ИО102 N исп.200 FRHF с магнитом М-100, с постоянно присоединенным кабелем FRHF в металлорукаве 
 1Ex d IIC T6 Gb / РB Ex d I Mb
 АТФЕ.425119.171</v>
      </c>
      <c r="B421" s="6" t="str">
        <f ca="1">IFERROR(__xludf.DUMMYFUNCTION("""COMPUTED_VALUE"""),"Корпус - нержавеющая сталь 12Х18Н10Т,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-0."&amp;"01-0.25 А, Pкоммут. не более 10 Вт IP66/IP67")</f>
        <v>Корпус - нержавеющая сталь 12Х18Н10Т,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-0.01-0.25 А, Pкоммут. не более 10 Вт IP66/IP67</v>
      </c>
      <c r="C421" s="9">
        <f ca="1">IFERROR(__xludf.DUMMYFUNCTION("""COMPUTED_VALUE"""),11182.5)</f>
        <v>11182.5</v>
      </c>
      <c r="D421" s="6"/>
      <c r="E421" s="8"/>
    </row>
    <row r="422" spans="1:5" ht="114.75">
      <c r="A422" s="5" t="str">
        <f ca="1">IFERROR(__xludf.DUMMYFUNCTION("""COMPUTED_VALUE"""),"Ех ИО102 N исп.250 FRHF с магнитом М-100, с постоянно присоединенным кабелем в металлорукаве FRHF 1Ex d IIC T6 Gb / РB Ex d I Mb
 АТФЕ.425119.171")</f>
        <v>Ех ИО102 N исп.250 FRHF с магнитом М-100, с постоянно присоединенным кабелем в металлорукаве FRHF 1Ex d IIC T6 Gb / РB Ex d I Mb
 АТФЕ.425119.171</v>
      </c>
      <c r="B422" s="6" t="str">
        <f ca="1">IFERROR(__xludf.DUMMYFUNCTION("""COMPUTED_VALUE"""),"корпус - нержавеющая сталь 12Х18Н10Т, нормально-замкнутый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-0.0"&amp;"1-0.25 А, Pкоммут. не более 10 Вт IP66/IP67")</f>
        <v>корпус - нержавеющая сталь 12Х18Н10Т, нормально-замкнутый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-0.01-0.25 А, Pкоммут. не более 10 Вт IP66/IP67</v>
      </c>
      <c r="C422" s="9">
        <f ca="1">IFERROR(__xludf.DUMMYFUNCTION("""COMPUTED_VALUE"""),11482.27)</f>
        <v>11482.27</v>
      </c>
      <c r="D422" s="6"/>
      <c r="E422" s="8"/>
    </row>
    <row r="423" spans="1:5" ht="114.75">
      <c r="A423" s="5" t="str">
        <f ca="1">IFERROR(__xludf.DUMMYFUNCTION("""COMPUTED_VALUE"""),"Ех ИО102 N исп.200 АВТО с магнитом М-100, с постоянно присоединенным спецкабелем в металлорукаве 
 1Ex d IIC T6 Gb / РB Ex d I Mb
 АТФЕ.425119.171")</f>
        <v>Ех ИО102 N исп.200 АВТО с магнитом М-100, с постоянно присоединенным спецкабелем в металлорукаве 
 1Ex d IIC T6 Gb / РB Ex d I Mb
 АТФЕ.425119.171</v>
      </c>
      <c r="B423" s="6" t="str">
        <f ca="1">IFERROR(__xludf.DUMMYFUNCTION("""COMPUTED_VALUE"""),"Корпус - нержавеющая сталь 12Х18Н10Т,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Iк"&amp;"оммут. -0.01-0.25 А, Pкоммут. не более 10 Вт IP66/IP67")</f>
        <v>Корпус - нержавеющая сталь 12Х18Н10Т,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Iкоммут. -0.01-0.25 А, Pкоммут. не более 10 Вт IP66/IP67</v>
      </c>
      <c r="C423" s="9">
        <f ca="1">IFERROR(__xludf.DUMMYFUNCTION("""COMPUTED_VALUE"""),11400)</f>
        <v>11400</v>
      </c>
      <c r="D423" s="6"/>
      <c r="E423" s="8"/>
    </row>
    <row r="424" spans="1:5" ht="114.75">
      <c r="A424" s="5" t="str">
        <f ca="1">IFERROR(__xludf.DUMMYFUNCTION("""COMPUTED_VALUE"""),"Ех ИО102 N исп.250 АВТО с магнитом М-100, с постоянно присоединенным спецкабелем в металлорукаве 1Ex d IIC T6 Gb / РB Ex d I Mb
 АТФЕ.425119.171")</f>
        <v>Ех ИО102 N исп.250 АВТО с магнитом М-100, с постоянно присоединенным спецкабелем в металлорукаве 1Ex d IIC T6 Gb / РB Ex d I Mb
 АТФЕ.425119.171</v>
      </c>
      <c r="B424" s="6" t="str">
        <f ca="1">IFERROR(__xludf.DUMMYFUNCTION("""COMPUTED_VALUE"""),"корпус - нержавеющая сталь 12Х18Н10Т, 
 нормально-замкнутый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Iко"&amp;"ммут. -0.01-0.25 А, Pкоммут. не более 10 Вт IP66/IP67")</f>
        <v>корпус - нержавеющая сталь 12Х18Н10Т, 
 нормально-замкнутый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Iкоммут. -0.01-0.25 А, Pкоммут. не более 10 Вт IP66/IP67</v>
      </c>
      <c r="C424" s="9">
        <f ca="1">IFERROR(__xludf.DUMMYFUNCTION("""COMPUTED_VALUE"""),11700)</f>
        <v>11700</v>
      </c>
      <c r="D424" s="6"/>
      <c r="E424" s="8"/>
    </row>
    <row r="425" spans="1:5" ht="76.5">
      <c r="A425" s="5" t="str">
        <f ca="1">IFERROR(__xludf.DUMMYFUNCTION("""COMPUTED_VALUE"""),"Ех ИО102 Al исп.200 с магнитом М-50 1Ex d IIC T6 Gb АТФЕ.425119.171")</f>
        <v>Ех ИО102 Al исп.200 с магнитом М-50 1Ex d IIC T6 Gb АТФЕ.425119.171</v>
      </c>
      <c r="B425"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100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100 мм , Uкомут. – 0,02-60 В, Iкоммут. -0.01-0.25 А, Pкоммут. не более 10 Вт IP66/IP67</v>
      </c>
      <c r="C425" s="9">
        <f ca="1">IFERROR(__xludf.DUMMYFUNCTION("""COMPUTED_VALUE"""),16258)</f>
        <v>16258</v>
      </c>
      <c r="D425" s="6"/>
      <c r="E425" s="8"/>
    </row>
    <row r="426" spans="1:5" ht="76.5">
      <c r="A426" s="5" t="str">
        <f ca="1">IFERROR(__xludf.DUMMYFUNCTION("""COMPUTED_VALUE"""),"Ех ИО102 Al исп.200 с магнитом М-100 
1Ex d IIC T6 Gb
АТФЕ.425119.171")</f>
        <v>Ех ИО102 Al исп.200 с магнитом М-100 
1Ex d IIC T6 Gb
АТФЕ.425119.171</v>
      </c>
      <c r="B426"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v>
      </c>
      <c r="C426" s="9">
        <f ca="1">IFERROR(__xludf.DUMMYFUNCTION("""COMPUTED_VALUE"""),12950.3)</f>
        <v>12950.3</v>
      </c>
      <c r="D426" s="6"/>
      <c r="E426" s="8"/>
    </row>
    <row r="427" spans="1:5" ht="76.5">
      <c r="A427" s="5" t="str">
        <f ca="1">IFERROR(__xludf.DUMMYFUNCTION("""COMPUTED_VALUE"""),"Ех ИО102 Al исп.200 с магнитом М-150 
1Ex d IIC T6 Gb
АТФЕ.425119.171")</f>
        <v>Ех ИО102 Al исп.200 с магнитом М-150 
1Ex d IIC T6 Gb
АТФЕ.425119.171</v>
      </c>
      <c r="B427"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50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50 мм , Uкомут. – 0,02-60 В, Iкоммут. -0.01-0.25 А, Pкоммут. не более 10 Вт IP66/IP67</v>
      </c>
      <c r="C427" s="9">
        <f ca="1">IFERROR(__xludf.DUMMYFUNCTION("""COMPUTED_VALUE"""),12950.3)</f>
        <v>12950.3</v>
      </c>
      <c r="D427" s="6"/>
      <c r="E427" s="8"/>
    </row>
    <row r="428" spans="1:5" ht="76.5">
      <c r="A428" s="5" t="str">
        <f ca="1">IFERROR(__xludf.DUMMYFUNCTION("""COMPUTED_VALUE"""),"Ех ИО102 Al исп.200 с магнитом М-175 
1Ex d IIC T6 Gb
АТФЕ.425119.171")</f>
        <v>Ех ИО102 Al исп.200 с магнитом М-175 
1Ex d IIC T6 Gb
АТФЕ.425119.171</v>
      </c>
      <c r="B428"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40мм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40мм , Uкомут. – 0,02-60 В, Iкоммут. -0.01-0.25 А, Pкоммут. не более 10 Вт IP66/IP67</v>
      </c>
      <c r="C428" s="9">
        <f ca="1">IFERROR(__xludf.DUMMYFUNCTION("""COMPUTED_VALUE"""),12950.3)</f>
        <v>12950.3</v>
      </c>
      <c r="D428" s="6"/>
      <c r="E428" s="8"/>
    </row>
    <row r="429" spans="1:5" ht="76.5">
      <c r="A429" s="5" t="str">
        <f ca="1">IFERROR(__xludf.DUMMYFUNCTION("""COMPUTED_VALUE"""),"Ех ИО102 Al исп.250 с магнитом М-100 
1Ex d IIC T6 Gb
АТФЕ.425119.171")</f>
        <v>Ех ИО102 Al исп.250 с магнитом М-100 
1Ex d IIC T6 Gb
АТФЕ.425119.171</v>
      </c>
      <c r="B429"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v>
      </c>
      <c r="C429" s="9">
        <f ca="1">IFERROR(__xludf.DUMMYFUNCTION("""COMPUTED_VALUE"""),13251.326)</f>
        <v>13251.325999999999</v>
      </c>
      <c r="D429" s="6"/>
      <c r="E429" s="8"/>
    </row>
    <row r="430" spans="1:5" ht="76.5">
      <c r="A430" s="5" t="str">
        <f ca="1">IFERROR(__xludf.DUMMYFUNCTION("""COMPUTED_VALUE"""),"Ех ИО102 Al исп.300 с магнитом М-100 
1Ex d IIC T6 Gb
АТФЕ.425119.171")</f>
        <v>Ех ИО102 Al исп.300 с магнитом М-100 
1Ex d IIC T6 Gb
АТФЕ.425119.171</v>
      </c>
      <c r="B430" s="6" t="str">
        <f ca="1">IFERROR(__xludf.DUMMYFUNCTION("""COMPUTED_VALUE"""),"корпус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v>
      </c>
      <c r="C430" s="9">
        <f ca="1">IFERROR(__xludf.DUMMYFUNCTION("""COMPUTED_VALUE"""),13915)</f>
        <v>13915</v>
      </c>
      <c r="D430" s="6"/>
      <c r="E430" s="8"/>
    </row>
    <row r="431" spans="1:5" ht="89.25">
      <c r="A431" s="5" t="str">
        <f ca="1">IFERROR(__xludf.DUMMYFUNCTION("""COMPUTED_VALUE"""),"Ех ИО102 Al исп.200 с магнитом М-200 
1Ex d IIC T6 Gb
АТФЕ.425119.171")</f>
        <v>Ех ИО102 Al исп.200 с магнитом М-200 
1Ex d IIC T6 Gb
АТФЕ.425119.171</v>
      </c>
      <c r="B431"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v>
      </c>
      <c r="C431" s="9">
        <f ca="1">IFERROR(__xludf.DUMMYFUNCTION("""COMPUTED_VALUE"""),9372)</f>
        <v>9372</v>
      </c>
      <c r="D431" s="6"/>
      <c r="E431" s="8"/>
    </row>
    <row r="432" spans="1:5" ht="89.25">
      <c r="A432" s="5" t="str">
        <f ca="1">IFERROR(__xludf.DUMMYFUNCTION("""COMPUTED_VALUE"""),"Ех ИО102 Al исп.200 с магнитом М-250 
1Ex d IIC T6 Gb
АТФЕ.425119.171")</f>
        <v>Ех ИО102 Al исп.200 с магнитом М-250 
1Ex d IIC T6 Gb
АТФЕ.425119.171</v>
      </c>
      <c r="B432"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30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30 мм , Uкомут. – 0,02-60 В, Iкоммут. -0.01-0.25 А, Pкоммут. не более 10 Вт.</v>
      </c>
      <c r="C432" s="9">
        <f ca="1">IFERROR(__xludf.DUMMYFUNCTION("""COMPUTED_VALUE"""),9372)</f>
        <v>9372</v>
      </c>
      <c r="D432" s="6"/>
      <c r="E432" s="8"/>
    </row>
    <row r="433" spans="1:5" ht="89.25">
      <c r="A433" s="5" t="str">
        <f ca="1">IFERROR(__xludf.DUMMYFUNCTION("""COMPUTED_VALUE"""),"Ех ИО102 Al исп.200 с магнитом М-275
1Ex d IIC T6 Gb
АТФЕ.425119.171")</f>
        <v>Ех ИО102 Al исп.200 с магнитом М-275
1Ex d IIC T6 Gb
АТФЕ.425119.171</v>
      </c>
      <c r="B433"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20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20 мм , Uкомут. – 0,02-60 В, Iкоммут. -0.01-0.25 А, Pкоммут. не более 10 Вт.</v>
      </c>
      <c r="C433" s="9">
        <f ca="1">IFERROR(__xludf.DUMMYFUNCTION("""COMPUTED_VALUE"""),9372)</f>
        <v>9372</v>
      </c>
      <c r="D433" s="6"/>
      <c r="E433" s="8"/>
    </row>
    <row r="434" spans="1:5" ht="76.5">
      <c r="A434" s="5" t="str">
        <f ca="1">IFERROR(__xludf.DUMMYFUNCTION("""COMPUTED_VALUE"""),"Ех ИО102 Al исп.250 с магнитом М-200 
1Ex d IIC T6 Gb
АТФЕ.425119.171")</f>
        <v>Ех ИО102 Al исп.250 с магнитом М-200 
1Ex d IIC T6 Gb
АТФЕ.425119.171</v>
      </c>
      <c r="B434"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v>
      </c>
      <c r="C434" s="9">
        <f ca="1">IFERROR(__xludf.DUMMYFUNCTION("""COMPUTED_VALUE"""),9822.912)</f>
        <v>9822.9120000000003</v>
      </c>
      <c r="D434" s="6"/>
      <c r="E434" s="8"/>
    </row>
    <row r="435" spans="1:5" ht="76.5">
      <c r="A435" s="5" t="str">
        <f ca="1">IFERROR(__xludf.DUMMYFUNCTION("""COMPUTED_VALUE"""),"Ех ИО102 Al исп.300 с магнитом М-200 
1Ex d IIC T6 Gb
АТФЕ.425119.171")</f>
        <v>Ех ИО102 Al исп.300 с магнитом М-200 
1Ex d IIC T6 Gb
АТФЕ.425119.171</v>
      </c>
      <c r="B435" s="6" t="str">
        <f ca="1">IFERROR(__xludf.DUMMYFUNCTION("""COMPUTED_VALUE"""),"корпус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v>
      </c>
      <c r="C435" s="9">
        <f ca="1">IFERROR(__xludf.DUMMYFUNCTION("""COMPUTED_VALUE"""),9482)</f>
        <v>9482</v>
      </c>
      <c r="D435" s="6"/>
      <c r="E435" s="8"/>
    </row>
    <row r="436" spans="1:5" ht="76.5">
      <c r="A436" s="5" t="str">
        <f ca="1">IFERROR(__xludf.DUMMYFUNCTION("""COMPUTED_VALUE"""),"Ех ИО102 Al исп.200 с магнитом М-300 
1Ex d IIC T6 Gb 
АТФЕ.425119.171")</f>
        <v>Ех ИО102 Al исп.200 с магнитом М-300 
1Ex d IIC T6 Gb 
АТФЕ.425119.171</v>
      </c>
      <c r="B436"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10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10 мм , Uкомут. – 0,02-60 В, Iкоммут. -0.01-0.25 А, Pкоммут. не более 10 Вт IP66/IP67</v>
      </c>
      <c r="C436" s="9">
        <f ca="1">IFERROR(__xludf.DUMMYFUNCTION("""COMPUTED_VALUE"""),9372)</f>
        <v>9372</v>
      </c>
      <c r="D436" s="6"/>
      <c r="E436" s="8"/>
    </row>
    <row r="437" spans="1:5" ht="102">
      <c r="A437" s="5" t="str">
        <f ca="1">IFERROR(__xludf.DUMMYFUNCTION("""COMPUTED_VALUE"""),"Ех ИО102 Al исп.200, с магнитом М-100, с постоянно присоединенным кабелем в металлорукаве 
1Ex d IIC T6 Gb
АТФЕ.425119.171")</f>
        <v>Ех ИО102 Al исп.200, с магнитом М-100, с постоянно присоединенным кабелем в металлорукаве 
1Ex d IIC T6 Gb
АТФЕ.425119.171</v>
      </c>
      <c r="B437"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37" s="9">
        <f ca="1">IFERROR(__xludf.DUMMYFUNCTION("""COMPUTED_VALUE"""),10383.109)</f>
        <v>10383.109</v>
      </c>
      <c r="D437" s="6"/>
      <c r="E437" s="8"/>
    </row>
    <row r="438" spans="1:5" ht="89.25">
      <c r="A438" s="5" t="str">
        <f ca="1">IFERROR(__xludf.DUMMYFUNCTION("""COMPUTED_VALUE"""),"Ех ИО102 Al исп.250, с магнитом М-100, с постоянно присоединенным кабелем в металлорукаве 
1Ex d IIC T6 Gb
АТФЕ.425119.171")</f>
        <v>Ех ИО102 Al исп.250, с магнитом М-100, с постоянно присоединенным кабелем в металлорукаве 
1Ex d IIC T6 Gb
АТФЕ.425119.171</v>
      </c>
      <c r="B438" s="6" t="str">
        <f ca="1">IFERROR(__xludf.DUMMYFUNCTION("""COMPUTED_VALUE"""),"корпус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v>
      </c>
      <c r="C438" s="9">
        <f ca="1">IFERROR(__xludf.DUMMYFUNCTION("""COMPUTED_VALUE"""),10673.795)</f>
        <v>10673.795</v>
      </c>
      <c r="D438" s="6"/>
      <c r="E438" s="8"/>
    </row>
    <row r="439" spans="1:5" ht="89.25">
      <c r="A439" s="5" t="str">
        <f ca="1">IFERROR(__xludf.DUMMYFUNCTION("""COMPUTED_VALUE"""),"Ех ИО102 Al исп.300, с магнитом М-100, с постоянно присоединенным кабелем в металлорукаве 
1Ex d IIC T6 Gb
АТФЕ.425119.171")</f>
        <v>Ех ИО102 Al исп.300, с магнитом М-100, с постоянно присоединенным кабелем в металлорукаве 
1Ex d IIC T6 Gb
АТФЕ.425119.171</v>
      </c>
      <c r="B439" s="6" t="str">
        <f ca="1">IFERROR(__xludf.DUMMYFUNCTION("""COMPUTED_VALUE"""),"корпус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v>
      </c>
      <c r="C439" s="9">
        <f ca="1">IFERROR(__xludf.DUMMYFUNCTION("""COMPUTED_VALUE"""),11206.8)</f>
        <v>11206.8</v>
      </c>
      <c r="D439" s="6"/>
      <c r="E439" s="8"/>
    </row>
    <row r="440" spans="1:5" ht="102">
      <c r="A440" s="5" t="str">
        <f ca="1">IFERROR(__xludf.DUMMYFUNCTION("""COMPUTED_VALUE"""),"Ех ИО102 Al исп.200, с магнитом М-200, с постоянно присоединенным кабелем в металлорукаве
1Ex d IIC T6 Gb
АТФЕ.425119.171")</f>
        <v>Ех ИО102 Al исп.200, с магнитом М-200, с постоянно присоединенным кабелем в металлорукаве
1Ex d IIC T6 Gb
АТФЕ.425119.171</v>
      </c>
      <c r="B440"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40" s="9">
        <f ca="1">IFERROR(__xludf.DUMMYFUNCTION("""COMPUTED_VALUE"""),7121.917)</f>
        <v>7121.9170000000004</v>
      </c>
      <c r="D440" s="6"/>
      <c r="E440" s="8"/>
    </row>
    <row r="441" spans="1:5" ht="89.25">
      <c r="A441" s="5" t="str">
        <f ca="1">IFERROR(__xludf.DUMMYFUNCTION("""COMPUTED_VALUE"""),"Ех ИО102 Al исп.250, с магнитом М-200, с постоянно присоединенным кабелем в металлорукаве 
1Ex d IIC T6 Gb
АТФЕ.425119.171")</f>
        <v>Ех ИО102 Al исп.250, с магнитом М-200, с постоянно присоединенным кабелем в металлорукаве 
1Ex d IIC T6 Gb
АТФЕ.425119.171</v>
      </c>
      <c r="B441"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v>
      </c>
      <c r="C441" s="9">
        <f ca="1">IFERROR(__xludf.DUMMYFUNCTION("""COMPUTED_VALUE"""),7349.023)</f>
        <v>7349.0230000000001</v>
      </c>
      <c r="D441" s="6"/>
      <c r="E441" s="8"/>
    </row>
    <row r="442" spans="1:5" ht="89.25">
      <c r="A442" s="5" t="str">
        <f ca="1">IFERROR(__xludf.DUMMYFUNCTION("""COMPUTED_VALUE"""),"Ех ИО102 Al исп.300, с магнитом М-200, с постоянно присоединенным кабелем в металлорукаве 
1Ex d IIC T6 Gb
АТФЕ.425119.171")</f>
        <v>Ех ИО102 Al исп.300, с магнитом М-200, с постоянно присоединенным кабелем в металлорукаве 
1Ex d IIC T6 Gb
АТФЕ.425119.171</v>
      </c>
      <c r="B442"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v>
      </c>
      <c r="C442" s="9">
        <f ca="1">IFERROR(__xludf.DUMMYFUNCTION("""COMPUTED_VALUE"""),7716.5)</f>
        <v>7716.5</v>
      </c>
      <c r="D442" s="6"/>
      <c r="E442" s="8"/>
    </row>
    <row r="443" spans="1:5" ht="102">
      <c r="A443" s="5" t="str">
        <f ca="1">IFERROR(__xludf.DUMMYFUNCTION("""COMPUTED_VALUE"""),"Ех ИО102 Al исп.200, с магнитом М-300, с постоянно присоединенным кабелем в металлорукаве 
1Ex d IIC T6 Gb 
АТФЕ.425119.171")</f>
        <v>Ех ИО102 Al исп.200, с магнитом М-300, с постоянно присоединенным кабелем в металлорукаве 
1Ex d IIC T6 Gb 
АТФЕ.425119.171</v>
      </c>
      <c r="B443"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10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10 мм , Uкомут. – 0,02-60 В, Iкоммут. -0.01-0.25 А, Pкоммут. не более 10 Вт IP66/IP67</v>
      </c>
      <c r="C443" s="9">
        <f ca="1">IFERROR(__xludf.DUMMYFUNCTION("""COMPUTED_VALUE"""),7121.917)</f>
        <v>7121.9170000000004</v>
      </c>
      <c r="D443" s="6"/>
      <c r="E443" s="8"/>
    </row>
    <row r="444" spans="1:5" ht="102">
      <c r="A444" s="5" t="str">
        <f ca="1">IFERROR(__xludf.DUMMYFUNCTION("""COMPUTED_VALUE"""),"Ех ИО102 Al исп.211 (торцевой), с постоянно присоединенным кабелем в металлорукаве 
1Ex d IIC T6 Gb
АТФЕ.425119.171")</f>
        <v>Ех ИО102 Al исп.211 (торцевой), с постоянно присоединенным кабелем в металлорукаве 
1Ex d IIC T6 Gb
АТФЕ.425119.171</v>
      </c>
      <c r="B444"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 Вт IP66/IP67</v>
      </c>
      <c r="C444" s="9">
        <f ca="1">IFERROR(__xludf.DUMMYFUNCTION("""COMPUTED_VALUE"""),4087.842)</f>
        <v>4087.8420000000001</v>
      </c>
      <c r="D444" s="6"/>
      <c r="E444" s="8"/>
    </row>
    <row r="445" spans="1:5" ht="89.25">
      <c r="A445" s="5" t="str">
        <f ca="1">IFERROR(__xludf.DUMMYFUNCTION("""COMPUTED_VALUE"""),"Ех ИО102 Al исп.251 (торцевой), с постоянно присоединенным кабелем в металлорукаве 
1Ex d IIC T6 Gb
АТФЕ.425119.171")</f>
        <v>Ех ИО102 Al исп.251 (торцевой), с постоянно присоединенным кабелем в металлорукаве 
1Ex d IIC T6 Gb
АТФЕ.425119.171</v>
      </c>
      <c r="B445"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v>
      </c>
      <c r="C445" s="9">
        <f ca="1">IFERROR(__xludf.DUMMYFUNCTION("""COMPUTED_VALUE"""),4396.689)</f>
        <v>4396.6890000000003</v>
      </c>
      <c r="D445" s="6"/>
      <c r="E445" s="8"/>
    </row>
    <row r="446" spans="1:5" ht="89.25">
      <c r="A446" s="5" t="str">
        <f ca="1">IFERROR(__xludf.DUMMYFUNCTION("""COMPUTED_VALUE"""),"Ех ИО102 Al исп.301 (торцевой), с постоянно присоединенным кабелем в металлорукаве 
1Ex d IIC T6 Gb
АТФЕ.425119.171")</f>
        <v>Ех ИО102 Al исп.301 (торцевой), с постоянно присоединенным кабелем в металлорукаве 
1Ex d IIC T6 Gb
АТФЕ.425119.171</v>
      </c>
      <c r="B446"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v>
      </c>
      <c r="C446" s="9">
        <f ca="1">IFERROR(__xludf.DUMMYFUNCTION("""COMPUTED_VALUE"""),4616.7)</f>
        <v>4616.7</v>
      </c>
      <c r="D446" s="6"/>
      <c r="E446" s="8"/>
    </row>
    <row r="447" spans="1:5" ht="114.75">
      <c r="A447" s="5" t="str">
        <f ca="1">IFERROR(__xludf.DUMMYFUNCTION("""COMPUTED_VALUE"""),"Ех ИО102 Al исп.200 FRHF с магнитом М-100, с постоянно присоединенным кабелем FRHF в металлорукаве 
 1Ex d IIC T6 Gb / РB Ex d I Mb
 АТФЕ.425119.171")</f>
        <v>Ех ИО102 Al исп.200 FRHF с магнитом М-100, с постоянно присоединенным кабелем FRHF в металлорукаве 
 1Ex d IIC T6 Gb / РB Ex d I Mb
 АТФЕ.425119.171</v>
      </c>
      <c r="B447" s="6" t="str">
        <f ca="1">IFERROR(__xludf.DUMMYFUNCTION("""COMPUTED_VALUE"""),"Корпус - алюминиевый сплав Д16Т,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-0.01-0."&amp;"25 А, Pкоммут. не более 10 Вт IP66/IP67")</f>
        <v>Корпус - алюминиевый сплав Д16Т,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-0.01-0.25 А, Pкоммут. не более 10 Вт IP66/IP67</v>
      </c>
      <c r="C447" s="9">
        <f ca="1">IFERROR(__xludf.DUMMYFUNCTION("""COMPUTED_VALUE"""),10364)</f>
        <v>10364</v>
      </c>
      <c r="D447" s="6"/>
      <c r="E447" s="8"/>
    </row>
    <row r="448" spans="1:5" ht="114.75">
      <c r="A448" s="5" t="str">
        <f ca="1">IFERROR(__xludf.DUMMYFUNCTION("""COMPUTED_VALUE"""),"Ех ИО102 Al исп.250 FRHF с магнитом М-100, с постоянно присоединенным кабелем в металлорукаве FRHF 1Ex d IIC T6 Gb / РB Ex d I Mb
 АТФЕ.425119.171")</f>
        <v>Ех ИО102 Al исп.250 FRHF с магнитом М-100, с постоянно присоединенным кабелем в металлорукаве FRHF 1Ex d IIC T6 Gb / РB Ex d I Mb
 АТФЕ.425119.171</v>
      </c>
      <c r="B448" s="6" t="str">
        <f ca="1">IFERROR(__xludf.DUMMYFUNCTION("""COMPUTED_VALUE"""),"корпус - алюминиевый сплав Д16Т, переключающий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-0.01-0.25 А, P"&amp;"коммут. не более 10 Вт IP66/IP67")</f>
        <v>корпус - алюминиевый сплав Д16Т, переключающий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-0.01-0.25 А, Pкоммут. не более 10 Вт IP66/IP67</v>
      </c>
      <c r="C448" s="9">
        <f ca="1">IFERROR(__xludf.DUMMYFUNCTION("""COMPUTED_VALUE"""),10764)</f>
        <v>10764</v>
      </c>
      <c r="D448" s="6"/>
      <c r="E448" s="8"/>
    </row>
    <row r="449" spans="1:5" ht="114.75">
      <c r="A449" s="5" t="str">
        <f ca="1">IFERROR(__xludf.DUMMYFUNCTION("""COMPUTED_VALUE"""),"Ех ИО102 Al исп.200 АВТО с магнитом М-100, с постоянно присоединенным спецкабелем в металлорукаве 
 1Ex d IIC T6 Gb / РB Ex d I Mb
 АТФЕ.425119.171")</f>
        <v>Ех ИО102 Al исп.200 АВТО с магнитом М-100, с постоянно присоединенным спецкабелем в металлорукаве 
 1Ex d IIC T6 Gb / РB Ex d I Mb
 АТФЕ.425119.171</v>
      </c>
      <c r="B449" s="6" t="str">
        <f ca="1">IFERROR(__xludf.DUMMYFUNCTION("""COMPUTED_VALUE"""),"Корпус - алюминиевый сплав Д16Т,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Iкоммут."&amp;" -0.01-0.25 А, Pкоммут. не более 10 Вт IP66/IP67")</f>
        <v>Корпус - алюминиевый сплав Д16Т,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Iкоммут. -0.01-0.25 А, Pкоммут. не более 10 Вт IP66/IP67</v>
      </c>
      <c r="C449" s="9">
        <f ca="1">IFERROR(__xludf.DUMMYFUNCTION("""COMPUTED_VALUE"""),10584)</f>
        <v>10584</v>
      </c>
      <c r="D449" s="6"/>
      <c r="E449" s="8"/>
    </row>
    <row r="450" spans="1:5" ht="114.75">
      <c r="A450" s="5" t="str">
        <f ca="1">IFERROR(__xludf.DUMMYFUNCTION("""COMPUTED_VALUE"""),"Ех ИО102 Al исп.250 АВТО с магнитом М-100, с постоянно присоединенным спецкабелем в металлорукаве 1Ex d IIC T6 Gb / РB Ex d I Mb
 АТФЕ.425119.171")</f>
        <v>Ех ИО102 Al исп.250 АВТО с магнитом М-100, с постоянно присоединенным спецкабелем в металлорукаве 1Ex d IIC T6 Gb / РB Ex d I Mb
 АТФЕ.425119.171</v>
      </c>
      <c r="B450" s="6" t="str">
        <f ca="1">IFERROR(__xludf.DUMMYFUNCTION("""COMPUTED_VALUE"""),"корпус - алюминиевый сплав Д16Т, переключающий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Iкоммут. -0.01-0"&amp;".25 А, Pкоммут. не более 10 Вт IP66/IP67")</f>
        <v>корпус - алюминиевый сплав Д16Т, переключающий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Iкоммут. -0.01-0.25 А, Pкоммут. не более 10 Вт IP66/IP67</v>
      </c>
      <c r="C450" s="9">
        <f ca="1">IFERROR(__xludf.DUMMYFUNCTION("""COMPUTED_VALUE"""),10964)</f>
        <v>10964</v>
      </c>
      <c r="D450" s="6"/>
      <c r="E450" s="8"/>
    </row>
    <row r="451" spans="1:5" ht="76.5">
      <c r="A451" s="5" t="str">
        <f ca="1">IFERROR(__xludf.DUMMYFUNCTION("""COMPUTED_VALUE"""),"Ех ИО102 МК N исп.200 с магнитом М-100 1Ex d IIC T6 Gb /
 РB Ex d I Mb")</f>
        <v>Ех ИО102 МК N исп.200 с магнитом М-100 1Ex d IIC T6 Gb /
 РB Ex d I Mb</v>
      </c>
      <c r="B451"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v>
      </c>
      <c r="C451" s="9">
        <f ca="1">IFERROR(__xludf.DUMMYFUNCTION("""COMPUTED_VALUE"""),13776.653)</f>
        <v>13776.653</v>
      </c>
      <c r="D451" s="6"/>
      <c r="E451" s="8"/>
    </row>
    <row r="452" spans="1:5" ht="76.5">
      <c r="A452" s="5" t="str">
        <f ca="1">IFERROR(__xludf.DUMMYFUNCTION("""COMPUTED_VALUE"""),"Ех ИО102 МК N исп.300 с магнитом М-100 1Ex d IIC T6 Gb /
 РB Ex d I Mb")</f>
        <v>Ех ИО102 МК N исп.300 с магнитом М-100 1Ex d IIC T6 Gb /
 РB Ex d I Mb</v>
      </c>
      <c r="B452" s="6" t="str">
        <f ca="1">IFERROR(__xludf.DUMMYFUNCTION("""COMPUTED_VALUE"""),"корпус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v>
      </c>
      <c r="C452" s="9">
        <f ca="1">IFERROR(__xludf.DUMMYFUNCTION("""COMPUTED_VALUE"""),14789.5)</f>
        <v>14789.5</v>
      </c>
      <c r="D452" s="6"/>
      <c r="E452" s="8"/>
    </row>
    <row r="453" spans="1:5" ht="76.5">
      <c r="A453" s="5" t="str">
        <f ca="1">IFERROR(__xludf.DUMMYFUNCTION("""COMPUTED_VALUE"""),"Ех ИО102 МК N исп.200 с магнитом М-200 1Ex d IIC T6 Gb /
 РB Ex d I Mb")</f>
        <v>Ех ИО102 МК N исп.200 с магнитом М-200 1Ex d IIC T6 Gb /
 РB Ex d I Mb</v>
      </c>
      <c r="B453"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53" s="9">
        <f ca="1">IFERROR(__xludf.DUMMYFUNCTION("""COMPUTED_VALUE"""),10208)</f>
        <v>10208</v>
      </c>
      <c r="D453" s="6"/>
      <c r="E453" s="8"/>
    </row>
    <row r="454" spans="1:5" ht="76.5">
      <c r="A454" s="5" t="str">
        <f ca="1">IFERROR(__xludf.DUMMYFUNCTION("""COMPUTED_VALUE"""),"Ех ИО102 МК N исп.300 с магнитом М-200 1Ex d IIC T6 Gb /
 РB Ex d I Mb")</f>
        <v>Ех ИО102 МК N исп.300 с магнитом М-200 1Ex d IIC T6 Gb /
 РB Ex d I Mb</v>
      </c>
      <c r="B454" s="6" t="str">
        <f ca="1">IFERROR(__xludf.DUMMYFUNCTION("""COMPUTED_VALUE"""),"корпус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v>
      </c>
      <c r="C454" s="9">
        <f ca="1">IFERROR(__xludf.DUMMYFUNCTION("""COMPUTED_VALUE"""),10703)</f>
        <v>10703</v>
      </c>
      <c r="D454" s="6"/>
      <c r="E454" s="8"/>
    </row>
    <row r="455" spans="1:5" ht="76.5">
      <c r="A455" s="5" t="str">
        <f ca="1">IFERROR(__xludf.DUMMYFUNCTION("""COMPUTED_VALUE"""),"Ех ИО102 МК Al исп.200 с магнитом М-100 1Ex d IIC T6 Gb")</f>
        <v>Ех ИО102 МК Al исп.200 с магнитом М-100 1Ex d IIC T6 Gb</v>
      </c>
      <c r="B455"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v>
      </c>
      <c r="C455" s="9">
        <f ca="1">IFERROR(__xludf.DUMMYFUNCTION("""COMPUTED_VALUE"""),12950.3)</f>
        <v>12950.3</v>
      </c>
      <c r="D455" s="6"/>
      <c r="E455" s="8"/>
    </row>
    <row r="456" spans="1:5" ht="76.5">
      <c r="A456" s="5" t="str">
        <f ca="1">IFERROR(__xludf.DUMMYFUNCTION("""COMPUTED_VALUE"""),"Ех ИО102 МК Al исп.300 с магнитом М-100 1Ex d IIC T6 Gb")</f>
        <v>Ех ИО102 МК Al исп.300 с магнитом М-100 1Ex d IIC T6 Gb</v>
      </c>
      <c r="B456" s="6" t="str">
        <f ca="1">IFERROR(__xludf.DUMMYFUNCTION("""COMPUTED_VALUE"""),"корпус - алюминиевый сплав Д16Т, нормально переключающий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нормально переключающий геркон, сменный кабельный ввод с резьбой М25, тип штуцера - выбрать. Раст. сраб. 35 мм , Uкомут. – 0,02-60 В, Iкоммут. -0.01-0.25 А, Pкоммут. не более 10 Вт. IP66/IP67</v>
      </c>
      <c r="C456" s="9">
        <f ca="1">IFERROR(__xludf.DUMMYFUNCTION("""COMPUTED_VALUE"""),13915)</f>
        <v>13915</v>
      </c>
      <c r="D456" s="6"/>
      <c r="E456" s="8"/>
    </row>
    <row r="457" spans="1:5" ht="89.25">
      <c r="A457" s="5" t="str">
        <f ca="1">IFERROR(__xludf.DUMMYFUNCTION("""COMPUTED_VALUE"""),"Ех ИО102 МК Al исп.200 с магнитом М-200 1Ex d IIC T6 Gb")</f>
        <v>Ех ИО102 МК Al исп.200 с магнитом М-200 1Ex d IIC T6 Gb</v>
      </c>
      <c r="B457"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v>
      </c>
      <c r="C457" s="9">
        <f ca="1">IFERROR(__xludf.DUMMYFUNCTION("""COMPUTED_VALUE"""),9372)</f>
        <v>9372</v>
      </c>
      <c r="D457" s="6"/>
      <c r="E457" s="8"/>
    </row>
    <row r="458" spans="1:5" ht="76.5">
      <c r="A458" s="5" t="str">
        <f ca="1">IFERROR(__xludf.DUMMYFUNCTION("""COMPUTED_VALUE"""),"Ех ИО102 МК Al исп.300 с магнитом М-200 1Ex d IIC T6 Gb")</f>
        <v>Ех ИО102 МК Al исп.300 с магнитом М-200 1Ex d IIC T6 Gb</v>
      </c>
      <c r="B458" s="6" t="str">
        <f ca="1">IFERROR(__xludf.DUMMYFUNCTION("""COMPUTED_VALUE"""),"корпус - алюминиевый сплав Д16Т, нормально переключающий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нормально переключающий геркон, сменный кабельный ввод с резьбой М25, тип штуцера - выбрать. Раст. сраб. 30 мм , Uкомут. – 0,02-60 В, Iкоммут. -0.01-0.25 А, Pкоммут. не более 10 Вт. IP66/IP67</v>
      </c>
      <c r="C458" s="9">
        <f ca="1">IFERROR(__xludf.DUMMYFUNCTION("""COMPUTED_VALUE"""),9482)</f>
        <v>9482</v>
      </c>
      <c r="D458" s="6"/>
      <c r="E458" s="8"/>
    </row>
    <row r="459" spans="1:5" ht="76.5">
      <c r="A459" s="5" t="str">
        <f ca="1">IFERROR(__xludf.DUMMYFUNCTION("""COMPUTED_VALUE"""),"Ех ДВГ102 N 122 М137
 1Ex d IIC T6 Gb / РB Ex d I Mb
 (прежняя аббревиатура - Ех ДВГ102 N исп.200 с магнитом М-100 )")</f>
        <v>Ех ДВГ102 N 122 М137
 1Ex d IIC T6 Gb / РB Ex d I Mb
 (прежняя аббревиатура - Ех ДВГ102 N исп.200 с магнитом М-100 )</v>
      </c>
      <c r="B459"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v>
      </c>
      <c r="C459" s="9">
        <f ca="1">IFERROR(__xludf.DUMMYFUNCTION("""COMPUTED_VALUE"""),13081.068)</f>
        <v>13081.067999999999</v>
      </c>
      <c r="D459" s="6"/>
      <c r="E459" s="8"/>
    </row>
    <row r="460" spans="1:5" ht="76.5">
      <c r="A460" s="5" t="str">
        <f ca="1">IFERROR(__xludf.DUMMYFUNCTION("""COMPUTED_VALUE"""),"Ех ДВГ102 N 222 М137 
 1Ex d IIC T6 Gb /РB Ex d I Mb
 (прежняя аббревиатура - Ех ДВГ102 N исп.250 с магнитом М-100 )")</f>
        <v>Ех ДВГ102 N 222 М137 
 1Ex d IIC T6 Gb /РB Ex d I Mb
 (прежняя аббревиатура - Ех ДВГ102 N исп.250 с магнитом М-100 )</v>
      </c>
      <c r="B460"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v>
      </c>
      <c r="C460" s="9">
        <f ca="1">IFERROR(__xludf.DUMMYFUNCTION("""COMPUTED_VALUE"""),13389.937)</f>
        <v>13389.937</v>
      </c>
      <c r="D460" s="6"/>
      <c r="E460" s="8"/>
    </row>
    <row r="461" spans="1:5" ht="76.5">
      <c r="A461" s="5" t="str">
        <f ca="1">IFERROR(__xludf.DUMMYFUNCTION("""COMPUTED_VALUE"""),"Ех ДВГ102 N 322 М137 
 1Ex d IIC T6 Gb /РB Ex d I Mb 
 (прежняя аббревиатура - Ех ДВГ102 N исп.300 с магнитом М-100 )")</f>
        <v>Ех ДВГ102 N 322 М137 
 1Ex d IIC T6 Gb /РB Ex d I Mb 
 (прежняя аббревиатура - Ех ДВГ102 N исп.300 с магнитом М-100 )</v>
      </c>
      <c r="B461" s="6" t="str">
        <f ca="1">IFERROR(__xludf.DUMMYFUNCTION("""COMPUTED_VALUE"""),"корпус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v>
      </c>
      <c r="C461" s="9">
        <f ca="1">IFERROR(__xludf.DUMMYFUNCTION("""COMPUTED_VALUE"""),13389.937)</f>
        <v>13389.937</v>
      </c>
      <c r="D461" s="6"/>
      <c r="E461" s="8"/>
    </row>
    <row r="462" spans="1:5" ht="76.5">
      <c r="A462" s="5" t="str">
        <f ca="1">IFERROR(__xludf.DUMMYFUNCTION("""COMPUTED_VALUE"""),"Ех ДВГ102 N 122 М136
 1Ex d IIC T6 Gb / РB Ex d I Mb
 (прежняя аббревиатура - Ех ДВГ102 N исп.200 с магнитом М-200 )")</f>
        <v>Ех ДВГ102 N 122 М136
 1Ex d IIC T6 Gb / РB Ex d I Mb
 (прежняя аббревиатура - Ех ДВГ102 N исп.200 с магнитом М-200 )</v>
      </c>
      <c r="B462"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62" s="9">
        <f ca="1">IFERROR(__xludf.DUMMYFUNCTION("""COMPUTED_VALUE"""),9901.65)</f>
        <v>9901.65</v>
      </c>
      <c r="D462" s="6"/>
      <c r="E462" s="8"/>
    </row>
    <row r="463" spans="1:5" ht="76.5">
      <c r="A463" s="5" t="str">
        <f ca="1">IFERROR(__xludf.DUMMYFUNCTION("""COMPUTED_VALUE"""),"Ех ДВГ102 N 222 М136
 1Ex d IIC T6 Gb / РB Ex d I Mb
 (прежняя аббревиатура - Ех ДВГ102 N исп.250 с магнитом М-200 )")</f>
        <v>Ех ДВГ102 N 222 М136
 1Ex d IIC T6 Gb / РB Ex d I Mb
 (прежняя аббревиатура - Ех ДВГ102 N исп.250 с магнитом М-200 )</v>
      </c>
      <c r="B463"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v>
      </c>
      <c r="C463" s="9">
        <f ca="1">IFERROR(__xludf.DUMMYFUNCTION("""COMPUTED_VALUE"""),10101.487)</f>
        <v>10101.486999999999</v>
      </c>
      <c r="D463" s="6"/>
      <c r="E463" s="8"/>
    </row>
    <row r="464" spans="1:5" ht="76.5">
      <c r="A464" s="5" t="str">
        <f ca="1">IFERROR(__xludf.DUMMYFUNCTION("""COMPUTED_VALUE"""),"Ех ДВГ102 N 322 М136
 1Ex d IIC T6 Gb / РB Ex d I Mb
 (прежняя аббревиатура - Ех ДВГ102 N исп.300 с магнитом М-200 )")</f>
        <v>Ех ДВГ102 N 322 М136
 1Ex d IIC T6 Gb / РB Ex d I Mb
 (прежняя аббревиатура - Ех ДВГ102 N исп.300 с магнитом М-200 )</v>
      </c>
      <c r="B464" s="6" t="str">
        <f ca="1">IFERROR(__xludf.DUMMYFUNCTION("""COMPUTED_VALUE"""),"корпус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v>
      </c>
      <c r="C464" s="9">
        <f ca="1">IFERROR(__xludf.DUMMYFUNCTION("""COMPUTED_VALUE"""),10101.487)</f>
        <v>10101.486999999999</v>
      </c>
      <c r="D464" s="6"/>
      <c r="E464" s="8"/>
    </row>
    <row r="465" spans="1:5" ht="102">
      <c r="A465" s="5" t="str">
        <f ca="1">IFERROR(__xludf.DUMMYFUNCTION("""COMPUTED_VALUE"""),"Ех ДВГ102 N 122 вывод м/р РЗЦ8 М137 
 1Ex d IIC T6 Gb /РB Ex d I Mb
 (прежняя аббревиатураЕх ДВГ102 N исп.200 с магнитом М-100, с постоянно присоединенным кабелем в металлорукаве)")</f>
        <v>Ех ДВГ102 N 122 вывод м/р РЗЦ8 М137 
 1Ex d IIC T6 Gb /РB Ex d I Mb
 (прежняя аббревиатураЕх ДВГ102 N исп.200 с магнитом М-100, с постоянно присоединенным кабелем в металлорукаве)</v>
      </c>
      <c r="B465"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боле"&amp;"е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более 10 Вт IP66/IP67</v>
      </c>
      <c r="C465" s="9">
        <f ca="1">IFERROR(__xludf.DUMMYFUNCTION("""COMPUTED_VALUE"""),10900.89)</f>
        <v>10900.89</v>
      </c>
      <c r="D465" s="6"/>
      <c r="E465" s="8"/>
    </row>
    <row r="466" spans="1:5" ht="102">
      <c r="A466" s="5" t="str">
        <f ca="1">IFERROR(__xludf.DUMMYFUNCTION("""COMPUTED_VALUE"""),"Ех ДВГ102 N 222 вывод м/р РЗЦ8 М137 
 1Ex d IIC T6 Gb /РB Ex d I Mb
 (прежняя аббревиатураЕх ДВГ102 N исп.250 с магнитом М-100, с постоянно присоединенным кабелем в металлорукаве)")</f>
        <v>Ех ДВГ102 N 222 вывод м/р РЗЦ8 М137 
 1Ex d IIC T6 Gb /РB Ex d I Mb
 (прежняя аббревиатураЕх ДВГ102 N исп.250 с магнитом М-100, с постоянно присоединенным кабелем в металлорукаве)</v>
      </c>
      <c r="B466"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более"&amp;" 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 10 Вт IP66/IP67</v>
      </c>
      <c r="C466" s="9">
        <f ca="1">IFERROR(__xludf.DUMMYFUNCTION("""COMPUTED_VALUE"""),11209.759)</f>
        <v>11209.759</v>
      </c>
      <c r="D466" s="6"/>
      <c r="E466" s="8"/>
    </row>
    <row r="467" spans="1:5" ht="102">
      <c r="A467" s="5" t="str">
        <f ca="1">IFERROR(__xludf.DUMMYFUNCTION("""COMPUTED_VALUE"""),"Ех ДВГ102 N 322 вывод м/р РЗЦ8 М137 
 1Ex d IIC T6 Gb /РB Ex d I Mb
 (прежняя аббревиатура Ех ДВГ102 N исп.300 с магнитом М-100, с постоянно присоединенным кабелем в металлорукаве)")</f>
        <v>Ех ДВГ102 N 322 вывод м/р РЗЦ8 М137 
 1Ex d IIC T6 Gb /РB Ex d I Mb
 (прежняя аббревиатура Ех ДВГ102 N исп.300 с магнитом М-100, с постоянно присоединенным кабелем в металлорукаве)</v>
      </c>
      <c r="B467"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Вт"&amp;" 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 IP66/IP67</v>
      </c>
      <c r="C467" s="9">
        <f ca="1">IFERROR(__xludf.DUMMYFUNCTION("""COMPUTED_VALUE"""),11209.759)</f>
        <v>11209.759</v>
      </c>
      <c r="D467" s="6"/>
      <c r="E467" s="8"/>
    </row>
    <row r="468" spans="1:5" ht="102">
      <c r="A468" s="5" t="str">
        <f ca="1">IFERROR(__xludf.DUMMYFUNCTION("""COMPUTED_VALUE"""),"Ех ДВГ102 N 122 вывод м/р РЗЦ8 М136
 1Ex d IIC T6 Gb /РB Ex d I Mb
 (прежняя аббревиатура Ех ДВГ102 N исп.200 с магнитом М-200, с постоянно присоединенным кабелем в металлорукаве)")</f>
        <v>Ех ДВГ102 N 122 вывод м/р РЗЦ8 М136
 1Ex d IIC T6 Gb /РB Ex d I Mb
 (прежняя аббревиатура Ех ДВГ102 N исп.200 с магнитом М-200, с постоянно присоединенным кабелем в металлорукаве)</v>
      </c>
      <c r="B468"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более 10 Вт IP66/IP67</v>
      </c>
      <c r="C468" s="9">
        <f ca="1">IFERROR(__xludf.DUMMYFUNCTION("""COMPUTED_VALUE"""),7775.966)</f>
        <v>7775.9660000000003</v>
      </c>
      <c r="D468" s="6"/>
      <c r="E468" s="8"/>
    </row>
    <row r="469" spans="1:5" ht="102">
      <c r="A469" s="5" t="str">
        <f ca="1">IFERROR(__xludf.DUMMYFUNCTION("""COMPUTED_VALUE"""),"Ех ДВГ102 N 222 вывод м/р РЗЦ8 М136
 1Ex d IIC T6 Gb /РB Ex d I Mb
 (прежняя аббревиатура Ех ДВГ102 N исп.250 с магнитом М-200, с постоянно присоединенным кабелем в металлорукаве)")</f>
        <v>Ех ДВГ102 N 222 вывод м/р РЗЦ8 М136
 1Ex d IIC T6 Gb /РB Ex d I Mb
 (прежняя аббревиатура Ех ДВГ102 N исп.250 с магнитом М-200, с постоянно присоединенным кабелем в металлорукаве)</v>
      </c>
      <c r="B469"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"&amp;"10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10 Вт IP66/IP67</v>
      </c>
      <c r="C469" s="9">
        <f ca="1">IFERROR(__xludf.DUMMYFUNCTION("""COMPUTED_VALUE"""),8048.502)</f>
        <v>8048.5020000000004</v>
      </c>
      <c r="D469" s="6"/>
      <c r="E469" s="8"/>
    </row>
    <row r="470" spans="1:5" ht="102">
      <c r="A470" s="5" t="str">
        <f ca="1">IFERROR(__xludf.DUMMYFUNCTION("""COMPUTED_VALUE"""),"Ех ДВГ102 N 322 вывод м/р РЗЦ8 М136 
 1Ex d IIC T6 Gb /РB Ex d I Mb
 (прежняя аббревиатура Ех ДВГ102 N исп.300 с магнитом М-200, с постоянно присоединенным кабелем в металлорукаве)")</f>
        <v>Ех ДВГ102 N 322 вывод м/р РЗЦ8 М136 
 1Ex d IIC T6 Gb /РB Ex d I Mb
 (прежняя аббревиатура Ех ДВГ102 N исп.300 с магнитом М-200, с постоянно присоединенным кабелем в металлорукаве)</v>
      </c>
      <c r="B470"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"&amp;"IP66/IP67")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IP66/IP67</v>
      </c>
      <c r="C470" s="9">
        <f ca="1">IFERROR(__xludf.DUMMYFUNCTION("""COMPUTED_VALUE"""),8048.502)</f>
        <v>8048.5020000000004</v>
      </c>
      <c r="D470" s="6"/>
      <c r="E470" s="8"/>
    </row>
    <row r="471" spans="1:5" ht="102">
      <c r="A471" s="5" t="str">
        <f ca="1">IFERROR(__xludf.DUMMYFUNCTION("""COMPUTED_VALUE"""),"Ех ДВГ102 N 111 вывод м/р РЗЦ8 М214
 1Ex d IIC T6 Gb /РB Ex d I Mb
 (прежняя аббревиатура Ех ДВГ102 N исп.211 (торцевой), с постоянно присоединенным кабелем)")</f>
        <v>Ех ДВГ102 N 111 вывод м/р РЗЦ8 М214
 1Ex d IIC T6 Gb /РB Ex d I Mb
 (прежняя аббревиатура Ех ДВГ102 N исп.211 (торцевой), с постоянно присоединенным кабелем)</v>
      </c>
      <c r="B471"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более 10 Вт IP66/IP67</v>
      </c>
      <c r="C471" s="9">
        <f ca="1">IFERROR(__xludf.DUMMYFUNCTION("""COMPUTED_VALUE"""),4542.043)</f>
        <v>4542.0429999999997</v>
      </c>
      <c r="D471" s="6"/>
      <c r="E471" s="8"/>
    </row>
    <row r="472" spans="1:5" ht="102">
      <c r="A472" s="5" t="str">
        <f ca="1">IFERROR(__xludf.DUMMYFUNCTION("""COMPUTED_VALUE"""),"Ех ДВГ102 N 211 вывод м/р РЗЦ8 М214
 1Ex d IIC T6 Gb /РB Ex d I Mb
 (прежняя аббревиатура Ех ДВГ102 N исп.251 (торцевой), с постоянно присоединенным кабелем)")</f>
        <v>Ех ДВГ102 N 211 вывод м/р РЗЦ8 М214
 1Ex d IIC T6 Gb /РB Ex d I Mb
 (прежняя аббревиатура Ех ДВГ102 N исп.251 (торцевой), с постоянно присоединенным кабелем)</v>
      </c>
      <c r="B472"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1"&amp;"0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10 Вт IP66/IP67</v>
      </c>
      <c r="C472" s="9">
        <f ca="1">IFERROR(__xludf.DUMMYFUNCTION("""COMPUTED_VALUE"""),4850.901)</f>
        <v>4850.9009999999998</v>
      </c>
      <c r="D472" s="6"/>
      <c r="E472" s="8"/>
    </row>
    <row r="473" spans="1:5" ht="102">
      <c r="A473" s="5" t="str">
        <f ca="1">IFERROR(__xludf.DUMMYFUNCTION("""COMPUTED_VALUE"""),"Ех ДВГ102 N 311 вывод м/р РЗЦ8 М214
 1Ex d IIC T6 Gb /РB Ex d I Mb
 (прежняя аббревиатура Ех ДВГ102 N исп.201 (торцевой), с постоянно присоединенным кабелем)")</f>
        <v>Ех ДВГ102 N 311 вывод м/р РЗЦ8 М214
 1Ex d IIC T6 Gb /РB Ex d I Mb
 (прежняя аббревиатура Ех ДВГ102 N исп.201 (торцевой), с постоянно присоединенным кабелем)</v>
      </c>
      <c r="B473"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I"&amp;"P66/IP67")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IP66/IP67</v>
      </c>
      <c r="C473" s="9">
        <f ca="1">IFERROR(__xludf.DUMMYFUNCTION("""COMPUTED_VALUE"""),4850.901)</f>
        <v>4850.9009999999998</v>
      </c>
      <c r="D473" s="6"/>
      <c r="E473" s="8"/>
    </row>
    <row r="474" spans="1:5" ht="76.5">
      <c r="A474" s="5" t="str">
        <f ca="1">IFERROR(__xludf.DUMMYFUNCTION("""COMPUTED_VALUE"""),"Ех ДВГ102 Al 122 М137
 1Ex d IIC T6 Gb / РB Ex d I Mb
 (прежняя аббревиатура - Ех ДВГ102 Al исп.200 с магнитом М-100)")</f>
        <v>Ех ДВГ102 Al 122 М137
 1Ex d IIC T6 Gb / РB Ex d I Mb
 (прежняя аббревиатура - Ех ДВГ102 Al исп.200 с магнитом М-100)</v>
      </c>
      <c r="B474"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v>
      </c>
      <c r="C474" s="9">
        <f ca="1">IFERROR(__xludf.DUMMYFUNCTION("""COMPUTED_VALUE"""),12299.848)</f>
        <v>12299.848</v>
      </c>
      <c r="D474" s="6"/>
      <c r="E474" s="8"/>
    </row>
    <row r="475" spans="1:5" ht="76.5">
      <c r="A475" s="5" t="str">
        <f ca="1">IFERROR(__xludf.DUMMYFUNCTION("""COMPUTED_VALUE"""),"Ех ДВГ102 Al 222 М137
 1Ex d IIC T6 Gb / РB Ex d I Mb
 (прежняя аббревиатура - Ех ДВГ102 Al исп.250 с магнитом М-100)")</f>
        <v>Ех ДВГ102 Al 222 М137
 1Ex d IIC T6 Gb / РB Ex d I Mb
 (прежняя аббревиатура - Ех ДВГ102 Al исп.250 с магнитом М-100)</v>
      </c>
      <c r="B475"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v>
      </c>
      <c r="C475" s="9">
        <f ca="1">IFERROR(__xludf.DUMMYFUNCTION("""COMPUTED_VALUE"""),12626.867)</f>
        <v>12626.867</v>
      </c>
      <c r="D475" s="6"/>
      <c r="E475" s="8"/>
    </row>
    <row r="476" spans="1:5" ht="76.5">
      <c r="A476" s="5" t="str">
        <f ca="1">IFERROR(__xludf.DUMMYFUNCTION("""COMPUTED_VALUE"""),"Ех ДВГ102 Al 322 М137
 1Ex d IIC T6 Gb / РB Ex d I Mb
 (прежняя аббревиатура - Ех ДВГ102 Al исп.300 с магнитом М-100)")</f>
        <v>Ех ДВГ102 Al 322 М137
 1Ex d IIC T6 Gb / РB Ex d I Mb
 (прежняя аббревиатура - Ех ДВГ102 Al исп.300 с магнитом М-100)</v>
      </c>
      <c r="B476" s="6" t="str">
        <f ca="1">IFERROR(__xludf.DUMMYFUNCTION("""COMPUTED_VALUE"""),"корпус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v>
      </c>
      <c r="C476" s="9">
        <f ca="1">IFERROR(__xludf.DUMMYFUNCTION("""COMPUTED_VALUE"""),12626.867)</f>
        <v>12626.867</v>
      </c>
      <c r="D476" s="6"/>
      <c r="E476" s="8"/>
    </row>
    <row r="477" spans="1:5" ht="89.25">
      <c r="A477" s="5" t="str">
        <f ca="1">IFERROR(__xludf.DUMMYFUNCTION("""COMPUTED_VALUE"""),"Ех ДВГ102 Al 122 М136
 1Ex d IIC T6 Gb / РB Ex d I Mb
 (прежняя аббревиатура - Ех ДВГ102 Al исп.200 с магнитом М-200)")</f>
        <v>Ех ДВГ102 Al 122 М136
 1Ex d IIC T6 Gb / РB Ex d I Mb
 (прежняя аббревиатура - Ех ДВГ102 Al исп.200 с магнитом М-200)</v>
      </c>
      <c r="B477"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v>
      </c>
      <c r="C477" s="9">
        <f ca="1">IFERROR(__xludf.DUMMYFUNCTION("""COMPUTED_VALUE"""),9120.408)</f>
        <v>9120.4079999999994</v>
      </c>
      <c r="D477" s="6"/>
      <c r="E477" s="8"/>
    </row>
    <row r="478" spans="1:5" ht="76.5">
      <c r="A478" s="5" t="str">
        <f ca="1">IFERROR(__xludf.DUMMYFUNCTION("""COMPUTED_VALUE"""),"Ех ДВГ102 Al 222 М136
 1Ex d IIC T6 Gb / РB Ex d I Mb
 (прежняя аббревиатура - Ех ДВГ102 Al исп.250 с магнитом М-200)")</f>
        <v>Ех ДВГ102 Al 222 М136
 1Ex d IIC T6 Gb / РB Ex d I Mb
 (прежняя аббревиатура - Ех ДВГ102 Al исп.250 с магнитом М-200)</v>
      </c>
      <c r="B478"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v>
      </c>
      <c r="C478" s="9">
        <f ca="1">IFERROR(__xludf.DUMMYFUNCTION("""COMPUTED_VALUE"""),9320.267)</f>
        <v>9320.2669999999998</v>
      </c>
      <c r="D478" s="6"/>
      <c r="E478" s="8"/>
    </row>
    <row r="479" spans="1:5" ht="76.5">
      <c r="A479" s="5" t="str">
        <f ca="1">IFERROR(__xludf.DUMMYFUNCTION("""COMPUTED_VALUE"""),"Ех ДВГ102 Al 322 М136
 1Ex d IIC T6 Gb / РB Ex d I Mb
 (прежняя аббревиатура - Ех ДВГ102 Al исп.300 с магнитом М-100)")</f>
        <v>Ех ДВГ102 Al 322 М136
 1Ex d IIC T6 Gb / РB Ex d I Mb
 (прежняя аббревиатура - Ех ДВГ102 Al исп.300 с магнитом М-100)</v>
      </c>
      <c r="B479" s="6" t="str">
        <f ca="1">IFERROR(__xludf.DUMMYFUNCTION("""COMPUTED_VALUE"""),"корпус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v>
      </c>
      <c r="C479" s="9">
        <f ca="1">IFERROR(__xludf.DUMMYFUNCTION("""COMPUTED_VALUE"""),9320.267)</f>
        <v>9320.2669999999998</v>
      </c>
      <c r="D479" s="6"/>
      <c r="E479" s="8"/>
    </row>
    <row r="480" spans="1:5" ht="102">
      <c r="A480" s="5" t="str">
        <f ca="1">IFERROR(__xludf.DUMMYFUNCTION("""COMPUTED_VALUE"""),"Ех ДВГ102 Al 122 вывод м/р РЗЦ8 М137 
 1Ex d IIC T6 Gb /РB Ex d I Mb
 (прежняя аббревиатура Ех ДВГ102 Al исп.200, с магнитом М-100, с постоянно присоединенным кабелем в металлорукаве)")</f>
        <v>Ех ДВГ102 Al 122 вывод м/р РЗЦ8 М137 
 1Ex d IIC T6 Gb /РB Ex d I Mb
 (прежняя аббревиатура Ех ДВГ102 Al исп.200, с магнитом М-100, с постоянно присоединенным кабелем в металлорукаве)</v>
      </c>
      <c r="B480"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80" s="9">
        <f ca="1">IFERROR(__xludf.DUMMYFUNCTION("""COMPUTED_VALUE"""),10083.326)</f>
        <v>10083.325999999999</v>
      </c>
      <c r="D480" s="6"/>
      <c r="E480" s="8"/>
    </row>
    <row r="481" spans="1:5" ht="89.25">
      <c r="A481" s="5" t="str">
        <f ca="1">IFERROR(__xludf.DUMMYFUNCTION("""COMPUTED_VALUE"""),"Ех ДВГ102 Al 222 вывод м/р РЗЦ8 М137 
 1Ex d IIC T6 Gb /РB Ex d I Mb
 (прежняя аббревиатура Ех ДВГ102 Al исп.250, с магнитом М-100, с постоянно присоединенным кабелем в металлорукаве)")</f>
        <v>Ех ДВГ102 Al 222 вывод м/р РЗЦ8 М137 
 1Ex d IIC T6 Gb /РB Ex d I Mb
 (прежняя аббревиатура Ех ДВГ102 Al исп.250, с магнитом М-100, с постоянно присоединенным кабелем в металлорукаве)</v>
      </c>
      <c r="B481" s="6" t="str">
        <f ca="1">IFERROR(__xludf.DUMMYFUNCTION("""COMPUTED_VALUE"""),"корпус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v>
      </c>
      <c r="C481" s="9">
        <f ca="1">IFERROR(__xludf.DUMMYFUNCTION("""COMPUTED_VALUE"""),10392.184)</f>
        <v>10392.183999999999</v>
      </c>
      <c r="D481" s="6"/>
      <c r="E481" s="8"/>
    </row>
    <row r="482" spans="1:5" ht="89.25">
      <c r="A482" s="5" t="str">
        <f ca="1">IFERROR(__xludf.DUMMYFUNCTION("""COMPUTED_VALUE"""),"Ех ДВГ102 Al 322 вывод м/р РЗЦ8 М137 
 1Ex d IIC T6 Gb /РB Ex d I Mb
 (прежняя аббревиатура Ех ДВГ102 Al исп.300, с магнитом М-100, с постоянно присоединенным кабелем в металлорукаве)")</f>
        <v>Ех ДВГ102 Al 322 вывод м/р РЗЦ8 М137 
 1Ex d IIC T6 Gb /РB Ex d I Mb
 (прежняя аббревиатура Ех ДВГ102 Al исп.300, с магнитом М-100, с постоянно присоединенным кабелем в металлорукаве)</v>
      </c>
      <c r="B482" s="6" t="str">
        <f ca="1">IFERROR(__xludf.DUMMYFUNCTION("""COMPUTED_VALUE"""),"корпус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v>
      </c>
      <c r="C482" s="9">
        <f ca="1">IFERROR(__xludf.DUMMYFUNCTION("""COMPUTED_VALUE"""),10392.184)</f>
        <v>10392.183999999999</v>
      </c>
      <c r="D482" s="6"/>
      <c r="E482" s="8"/>
    </row>
    <row r="483" spans="1:5" ht="102">
      <c r="A483" s="5" t="str">
        <f ca="1">IFERROR(__xludf.DUMMYFUNCTION("""COMPUTED_VALUE"""),"Ех ДВГ102 Al 122 вывод м/р РЗЦ8 М136
 1Ex d IIC T6 Gb /РB Ex d I Mb
 (прежняя аббревиатура Ех ДВГ102 Al исп.200, с магнитом М-200, с постоянно присоединенным кабелем в металлорукаве)")</f>
        <v>Ех ДВГ102 Al 122 вывод м/р РЗЦ8 М136
 1Ex d IIC T6 Gb /РB Ex d I Mb
 (прежняя аббревиатура Ех ДВГ102 Al исп.200, с магнитом М-200, с постоянно присоединенным кабелем в металлорукаве)</v>
      </c>
      <c r="B483"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83" s="9">
        <f ca="1">IFERROR(__xludf.DUMMYFUNCTION("""COMPUTED_VALUE"""),6976.574)</f>
        <v>6976.5739999999996</v>
      </c>
      <c r="D483" s="6"/>
      <c r="E483" s="8"/>
    </row>
    <row r="484" spans="1:5" ht="89.25">
      <c r="A484" s="5" t="str">
        <f ca="1">IFERROR(__xludf.DUMMYFUNCTION("""COMPUTED_VALUE"""),"Ех ДВГ102 Al 222 вывод м/р РЗЦ8 М136
 1Ex d IIC T6 Gb /РB Ex d I Mb
 (прежняя аббревиатура Ех ДВГ102 Al исп.250, с магнитом М-200, с постоянно присоединенным кабелем в металлорукаве)")</f>
        <v>Ех ДВГ102 Al 222 вывод м/р РЗЦ8 М136
 1Ex d IIC T6 Gb /РB Ex d I Mb
 (прежняя аббревиатура Ех ДВГ102 Al исп.250, с магнитом М-200, с постоянно присоединенным кабелем в металлорукаве)</v>
      </c>
      <c r="B484"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v>
      </c>
      <c r="C484" s="9">
        <f ca="1">IFERROR(__xludf.DUMMYFUNCTION("""COMPUTED_VALUE"""),7267.26)</f>
        <v>7267.26</v>
      </c>
      <c r="D484" s="6"/>
      <c r="E484" s="8"/>
    </row>
    <row r="485" spans="1:5" ht="89.25">
      <c r="A485" s="5" t="str">
        <f ca="1">IFERROR(__xludf.DUMMYFUNCTION("""COMPUTED_VALUE"""),"Ех ДВГ102 Al 322 вывод м/р РЗЦ8 М136
 1Ex d IIC T6 Gb /РB Ex d I Mb
 (прежняя аббревиатура Ех ДВГ102 Al исп.200, с магнитом М-300, с постоянно присоединенным кабелем в металлорукаве)")</f>
        <v>Ех ДВГ102 Al 322 вывод м/р РЗЦ8 М136
 1Ex d IIC T6 Gb /РB Ex d I Mb
 (прежняя аббревиатура Ех ДВГ102 Al исп.200, с магнитом М-300, с постоянно присоединенным кабелем в металлорукаве)</v>
      </c>
      <c r="B485"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v>
      </c>
      <c r="C485" s="9">
        <f ca="1">IFERROR(__xludf.DUMMYFUNCTION("""COMPUTED_VALUE"""),7267.26)</f>
        <v>7267.26</v>
      </c>
      <c r="D485" s="6"/>
      <c r="E485" s="8"/>
    </row>
    <row r="486" spans="1:5" ht="102">
      <c r="A486" s="5" t="str">
        <f ca="1">IFERROR(__xludf.DUMMYFUNCTION("""COMPUTED_VALUE"""),"Ех ДВГ102 Al 111 вывод м/р РЗЦ8 М214
 1Ex d IIC T6 Gb /РB Ex d I Mb
 (прежняя аббревиатура Ех ДВГ102 Al исп.211 (торцевой), с постоянно присоединенным кабелем в металлорукаве)")</f>
        <v>Ех ДВГ102 Al 111 вывод м/р РЗЦ8 М214
 1Ex d IIC T6 Gb /РB Ex d I Mb
 (прежняя аббревиатура Ех ДВГ102 Al исп.211 (торцевой), с постоянно присоединенным кабелем в металлорукаве)</v>
      </c>
      <c r="B486"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 Вт IP66/IP67</v>
      </c>
      <c r="C486" s="9">
        <f ca="1">IFERROR(__xludf.DUMMYFUNCTION("""COMPUTED_VALUE"""),4087.842)</f>
        <v>4087.8420000000001</v>
      </c>
      <c r="D486" s="6"/>
      <c r="E486" s="8"/>
    </row>
    <row r="487" spans="1:5" ht="89.25">
      <c r="A487" s="5" t="str">
        <f ca="1">IFERROR(__xludf.DUMMYFUNCTION("""COMPUTED_VALUE"""),"Ех ДВГ102 Al 211 вывод м/р РЗЦ8 М214
 1Ex d IIC T6 Gb /РB Ex d I Mb
 (прежняя аббревиатура Ех ДВГ102 Al исп.251 (торцевой), с постоянно присоединенным кабелем в металлорукаве)")</f>
        <v>Ех ДВГ102 Al 211 вывод м/р РЗЦ8 М214
 1Ex d IIC T6 Gb /РB Ex d I Mb
 (прежняя аббревиатура Ех ДВГ102 Al исп.251 (торцевой), с постоянно присоединенным кабелем в металлорукаве)</v>
      </c>
      <c r="B487"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v>
      </c>
      <c r="C487" s="9">
        <f ca="1">IFERROR(__xludf.DUMMYFUNCTION("""COMPUTED_VALUE"""),4396.689)</f>
        <v>4396.6890000000003</v>
      </c>
      <c r="D487" s="6"/>
      <c r="E487" s="8"/>
    </row>
    <row r="488" spans="1:5" ht="89.25">
      <c r="A488" s="5" t="str">
        <f ca="1">IFERROR(__xludf.DUMMYFUNCTION("""COMPUTED_VALUE"""),"Ех ДВГ102 Al 311 вывод м/р РЗЦ8 М214
 1Ex d IIC T6 Gb /РB Ex d I Mb
 (прежняя аббревиатура Ех ДВГ102 Al исп.311 (торцевой), с постоянно присоединенным кабелем в металлорукаве)")</f>
        <v>Ех ДВГ102 Al 311 вывод м/р РЗЦ8 М214
 1Ex d IIC T6 Gb /РB Ex d I Mb
 (прежняя аббревиатура Ех ДВГ102 Al исп.311 (торцевой), с постоянно присоединенным кабелем в металлорукаве)</v>
      </c>
      <c r="B488"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v>
      </c>
      <c r="C488" s="9">
        <f ca="1">IFERROR(__xludf.DUMMYFUNCTION("""COMPUTED_VALUE"""),4396.689)</f>
        <v>4396.6890000000003</v>
      </c>
      <c r="D488" s="6"/>
      <c r="E488" s="8"/>
    </row>
    <row r="489" spans="1:5" ht="51">
      <c r="A489" s="5" t="str">
        <f ca="1">IFERROR(__xludf.DUMMYFUNCTION("""COMPUTED_VALUE"""),"Монтажная коробка ""МК+Видео"" Белая")</f>
        <v>Монтажная коробка "МК+Видео" Белая</v>
      </c>
      <c r="B489" s="6" t="str">
        <f ca="1">IFERROR(__xludf.DUMMYFUNCTION("""COMPUTED_VALUE"""),"IP66, предназначена для наружной установки камер видеонаблюдения, накладная. 130х130х50, материал пластик (белый)")</f>
        <v>IP66, предназначена для наружной установки камер видеонаблюдения, накладная. 130х130х50, материал пластик (белый)</v>
      </c>
      <c r="C489" s="9">
        <f ca="1">IFERROR(__xludf.DUMMYFUNCTION("""COMPUTED_VALUE"""),277.2)</f>
        <v>277.2</v>
      </c>
      <c r="D489" s="6"/>
      <c r="E489" s="8"/>
    </row>
    <row r="490" spans="1:5" ht="51">
      <c r="A490" s="5" t="str">
        <f ca="1">IFERROR(__xludf.DUMMYFUNCTION("""COMPUTED_VALUE"""),"Монтажная коробка ""МК+Видео"" Черная")</f>
        <v>Монтажная коробка "МК+Видео" Черная</v>
      </c>
      <c r="B490" s="6" t="str">
        <f ca="1">IFERROR(__xludf.DUMMYFUNCTION("""COMPUTED_VALUE"""),"IP66, предназначена для наружной установки камер видеонаблюдения, накладная. 130х130х50, материал пластик (черный)")</f>
        <v>IP66, предназначена для наружной установки камер видеонаблюдения, накладная. 130х130х50, материал пластик (черный)</v>
      </c>
      <c r="C490" s="9">
        <f ca="1">IFERROR(__xludf.DUMMYFUNCTION("""COMPUTED_VALUE"""),290.85)</f>
        <v>290.85000000000002</v>
      </c>
      <c r="D490" s="6"/>
      <c r="E490" s="8"/>
    </row>
    <row r="491" spans="1:5" ht="76.5">
      <c r="A491" s="5" t="str">
        <f ca="1">IFERROR(__xludf.DUMMYFUNCTION("""COMPUTED_VALUE"""),"Монтажная коробка ""МК+Видео"" Белая с гермовводом ")</f>
        <v xml:space="preserve">Монтажная коробка "МК+Видео" Белая с гермовводом </v>
      </c>
      <c r="B491" s="6" t="str">
        <f ca="1">IFERROR(__xludf.DUMMYFUNCTION("""COMPUTED_VALUE"""),"IP66, предназначена для наружной установки камер видеонаблюдения, накладная, с гермовводом (для подключении кабеля диаметром 6-12 мм). 130х130х50, материал пластик (белый)")</f>
        <v>IP66, предназначена для наружной установки камер видеонаблюдения, накладная, с гермовводом (для подключении кабеля диаметром 6-12 мм). 130х130х50, материал пластик (белый)</v>
      </c>
      <c r="C491" s="9">
        <f ca="1">IFERROR(__xludf.DUMMYFUNCTION("""COMPUTED_VALUE"""),334.95)</f>
        <v>334.95</v>
      </c>
      <c r="D491" s="6"/>
      <c r="E491" s="8"/>
    </row>
    <row r="492" spans="1:5" ht="76.5">
      <c r="A492" s="5" t="str">
        <f ca="1">IFERROR(__xludf.DUMMYFUNCTION("""COMPUTED_VALUE"""),"Монтажная коробка ""МК+Видео"" Черная с гермовводом ")</f>
        <v xml:space="preserve">Монтажная коробка "МК+Видео" Черная с гермовводом </v>
      </c>
      <c r="B492" s="6" t="str">
        <f ca="1">IFERROR(__xludf.DUMMYFUNCTION("""COMPUTED_VALUE"""),"IP66, предназначена для наружной установки камер видеонаблюдения, накладная, с гермовводом (для подключении кабеля диаметром 6-12 мм). 130х130х50, материал пластик (черный)")</f>
        <v>IP66, предназначена для наружной установки камер видеонаблюдения, накладная, с гермовводом (для подключении кабеля диаметром 6-12 мм). 130х130х50, материал пластик (черный)</v>
      </c>
      <c r="C492" s="9">
        <f ca="1">IFERROR(__xludf.DUMMYFUNCTION("""COMPUTED_VALUE"""),358.05)</f>
        <v>358.05</v>
      </c>
      <c r="D492" s="6"/>
      <c r="E492" s="8"/>
    </row>
    <row r="493" spans="1:5" ht="51">
      <c r="A493" s="5" t="str">
        <f ca="1">IFERROR(__xludf.DUMMYFUNCTION("""COMPUTED_VALUE"""),"Монтажная коробка ""МК+Видео Люкс"", белая")</f>
        <v>Монтажная коробка "МК+Видео Люкс", белая</v>
      </c>
      <c r="B493" s="6" t="str">
        <f ca="1">IFERROR(__xludf.DUMMYFUNCTION("""COMPUTED_VALUE"""),"IP66, материал АБС-пластик, предназначена для наружной установки камер видеонаблюдения, накладная. 130х130х50")</f>
        <v>IP66, материал АБС-пластик, предназначена для наружной установки камер видеонаблюдения, накладная. 130х130х50</v>
      </c>
      <c r="C493" s="9">
        <f ca="1">IFERROR(__xludf.DUMMYFUNCTION("""COMPUTED_VALUE"""),349.23)</f>
        <v>349.23</v>
      </c>
      <c r="D493" s="6"/>
      <c r="E493" s="8"/>
    </row>
    <row r="494" spans="1:5" ht="51">
      <c r="A494" s="5" t="str">
        <f ca="1">IFERROR(__xludf.DUMMYFUNCTION("""COMPUTED_VALUE"""),"Монтажная коробка ""МК+Видео Люкс"", черная")</f>
        <v>Монтажная коробка "МК+Видео Люкс", черная</v>
      </c>
      <c r="B494" s="6" t="str">
        <f ca="1">IFERROR(__xludf.DUMMYFUNCTION("""COMPUTED_VALUE"""),"IP66, материал АБС-пластик, предназначена для наружной установки камер видеонаблюдения, накладная. 130х130х50")</f>
        <v>IP66, материал АБС-пластик, предназначена для наружной установки камер видеонаблюдения, накладная. 130х130х50</v>
      </c>
      <c r="C494" s="9">
        <f ca="1">IFERROR(__xludf.DUMMYFUNCTION("""COMPUTED_VALUE"""),362.25)</f>
        <v>362.25</v>
      </c>
      <c r="D494" s="6"/>
      <c r="E494" s="8"/>
    </row>
    <row r="495" spans="1:5" ht="63.75">
      <c r="A495" s="5" t="str">
        <f ca="1">IFERROR(__xludf.DUMMYFUNCTION("""COMPUTED_VALUE"""),"Монтажная коробка ""МК+Видео Люкс"", белая с гермовводом ")</f>
        <v xml:space="preserve">Монтажная коробка "МК+Видео Люкс", белая с гермовводом </v>
      </c>
      <c r="B495" s="6" t="str">
        <f ca="1">IFERROR(__xludf.DUMMYFUNCTION("""COMPUTED_VALUE"""),"IP66,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f>
        <v>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v>
      </c>
      <c r="C495" s="9">
        <f ca="1">IFERROR(__xludf.DUMMYFUNCTION("""COMPUTED_VALUE"""),427.35)</f>
        <v>427.35</v>
      </c>
      <c r="D495" s="6"/>
      <c r="E495" s="8"/>
    </row>
    <row r="496" spans="1:5" ht="63.75">
      <c r="A496" s="5" t="str">
        <f ca="1">IFERROR(__xludf.DUMMYFUNCTION("""COMPUTED_VALUE"""),"Монтажная коробка ""МК+Видео Люкс"", черная с гермовводом ")</f>
        <v xml:space="preserve">Монтажная коробка "МК+Видео Люкс", черная с гермовводом </v>
      </c>
      <c r="B496" s="6" t="str">
        <f ca="1">IFERROR(__xludf.DUMMYFUNCTION("""COMPUTED_VALUE"""),"IP66,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f>
        <v>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v>
      </c>
      <c r="C496" s="9">
        <f ca="1">IFERROR(__xludf.DUMMYFUNCTION("""COMPUTED_VALUE"""),450.45)</f>
        <v>450.45</v>
      </c>
      <c r="D496" s="6"/>
      <c r="E496" s="8"/>
    </row>
    <row r="497" spans="1:5" ht="178.5">
      <c r="A497" s="5" t="str">
        <f ca="1">IFERROR(__xludf.DUMMYFUNCTION("""COMPUTED_VALUE"""),"Датчик герконовый ДГ-360 ПАШК.425119.145ПС")</f>
        <v>Датчик герконовый ДГ-360 ПАШК.425119.145ПС</v>
      </c>
      <c r="B497" s="6" t="str">
        <f ca="1">IFERROR(__xludf.DUMMYFUNCTION("""COMPUTED_VALUE"""),"Датчики герконовые ДГ-360 
 предназначены для контроля подвижных частей конструкций или механизмов на перемещение или смещение, с последующей выдачей сигнала о смещении на устройство контроля системы управления.
Состояния контактов геркона датчика, опред"&amp;"еляется в зависимости от расстояний между подвижной частью конструкции с установленным магнитом и датчиком. НР, вывод 3,5м, 62х41,6х19,42мм. IP66/IP68
")</f>
        <v xml:space="preserve">Датчики герконовые ДГ-360 
 предназначены для контроля подвижных частей конструкций или механизмов на перемещение или смещение, с последующей выдачей сигнала о смещении на устройство контроля системы управления.
Состояния контактов геркона датчика, определяется в зависимости от расстояний между подвижной частью конструкции с установленным магнитом и датчиком. НР, вывод 3,5м, 62х41,6х19,42мм. IP66/IP68
</v>
      </c>
      <c r="C497" s="9">
        <f ca="1">IFERROR(__xludf.DUMMYFUNCTION("""COMPUTED_VALUE"""),902)</f>
        <v>902</v>
      </c>
      <c r="D497" s="6"/>
      <c r="E497" s="8"/>
    </row>
    <row r="498" spans="1:5" ht="318.75">
      <c r="A498" s="5" t="str">
        <f ca="1">IFERROR(__xludf.DUMMYFUNCTION("""COMPUTED_VALUE"""),"DG DA исп.00 ПАШК.425119.157 ПС")</f>
        <v>DG DA исп.00 ПАШК.425119.157 ПС</v>
      </c>
      <c r="B498"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v>
      </c>
      <c r="C498" s="9">
        <f ca="1">IFERROR(__xludf.DUMMYFUNCTION("""COMPUTED_VALUE"""),915.49)</f>
        <v>915.49</v>
      </c>
      <c r="D498" s="6"/>
      <c r="E498" s="8"/>
    </row>
    <row r="499" spans="1:5" ht="318.75">
      <c r="A499" s="5" t="str">
        <f ca="1">IFERROR(__xludf.DUMMYFUNCTION("""COMPUTED_VALUE"""),"DG DA исп.01 ПАШК.425119.157 ПС")</f>
        <v>DG DA исп.01 ПАШК.425119.157 ПС</v>
      </c>
      <c r="B499"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v>
      </c>
      <c r="C499" s="9">
        <f ca="1">IFERROR(__xludf.DUMMYFUNCTION("""COMPUTED_VALUE"""),1211.21)</f>
        <v>1211.21</v>
      </c>
      <c r="D499" s="6"/>
      <c r="E499" s="8"/>
    </row>
    <row r="500" spans="1:5" ht="318.75">
      <c r="A500" s="5" t="str">
        <f ca="1">IFERROR(__xludf.DUMMYFUNCTION("""COMPUTED_VALUE"""),"DG DA исп.00М ПАШК.425119.157 ПС")</f>
        <v>DG DA исп.00М ПАШК.425119.157 ПС</v>
      </c>
      <c r="B500"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v>
      </c>
      <c r="C500" s="9">
        <f ca="1">IFERROR(__xludf.DUMMYFUNCTION("""COMPUTED_VALUE"""),1969.4)</f>
        <v>1969.4</v>
      </c>
      <c r="D500" s="6"/>
      <c r="E500" s="8"/>
    </row>
    <row r="501" spans="1:5" ht="318.75">
      <c r="A501" s="5" t="str">
        <f ca="1">IFERROR(__xludf.DUMMYFUNCTION("""COMPUTED_VALUE"""),"DG DA исп.01М ПАШК.425119.157 ПС")</f>
        <v>DG DA исп.01М ПАШК.425119.157 ПС</v>
      </c>
      <c r="B501"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v>
      </c>
      <c r="C501" s="9">
        <f ca="1">IFERROR(__xludf.DUMMYFUNCTION("""COMPUTED_VALUE"""),2081.08)</f>
        <v>2081.08</v>
      </c>
      <c r="D501" s="6"/>
      <c r="E501" s="8"/>
    </row>
    <row r="502" spans="1:5" ht="89.25">
      <c r="A502" s="5" t="str">
        <f ca="1">IFERROR(__xludf.DUMMYFUNCTION("""COMPUTED_VALUE"""),"DG DA исп.20 ПАШК.425119.157 ПС")</f>
        <v>DG DA исп.20 ПАШК.425119.157 ПС</v>
      </c>
      <c r="B502" s="6" t="str">
        <f ca="1">IFERROR(__xludf.DUMMYFUNCTION("""COMPUTED_VALUE"""),"НР,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f>
        <v>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v>
      </c>
      <c r="C502" s="9">
        <f ca="1">IFERROR(__xludf.DUMMYFUNCTION("""COMPUTED_VALUE"""),1278.85)</f>
        <v>1278.8499999999999</v>
      </c>
      <c r="D502" s="6"/>
      <c r="E502" s="8"/>
    </row>
    <row r="503" spans="1:5" ht="318.75">
      <c r="A503" s="5" t="str">
        <f ca="1">IFERROR(__xludf.DUMMYFUNCTION("""COMPUTED_VALUE"""),"DG DA исп.21 ПАШК.425119.157 ПС")</f>
        <v>DG DA исп.21 ПАШК.425119.157 ПС</v>
      </c>
      <c r="B503"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v>
      </c>
      <c r="C503" s="9">
        <f ca="1">IFERROR(__xludf.DUMMYFUNCTION("""COMPUTED_VALUE"""),1573)</f>
        <v>1573</v>
      </c>
      <c r="D503" s="6"/>
      <c r="E503" s="8"/>
    </row>
    <row r="504" spans="1:5" ht="318.75">
      <c r="A504" s="5" t="str">
        <f ca="1">IFERROR(__xludf.DUMMYFUNCTION("""COMPUTED_VALUE"""),"DG DA исп.20М ПАШК.425119.157 ПС")</f>
        <v>DG DA исп.20М ПАШК.425119.157 ПС</v>
      </c>
      <c r="B504"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v>
      </c>
      <c r="C504" s="9">
        <f ca="1">IFERROR(__xludf.DUMMYFUNCTION("""COMPUTED_VALUE"""),2334.33)</f>
        <v>2334.33</v>
      </c>
      <c r="D504" s="6"/>
      <c r="E504" s="8"/>
    </row>
    <row r="505" spans="1:5" ht="318.75">
      <c r="A505" s="5" t="str">
        <f ca="1">IFERROR(__xludf.DUMMYFUNCTION("""COMPUTED_VALUE"""),"DG DA исп.21М ПАШК.425119.157 ПС")</f>
        <v>DG DA исп.21М ПАШК.425119.157 ПС</v>
      </c>
      <c r="B505"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v>
      </c>
      <c r="C505" s="9">
        <f ca="1">IFERROR(__xludf.DUMMYFUNCTION("""COMPUTED_VALUE"""),2683.54)</f>
        <v>2683.54</v>
      </c>
      <c r="D505" s="6"/>
      <c r="E505" s="8"/>
    </row>
    <row r="506" spans="1:5" ht="89.25">
      <c r="A506" s="5" t="str">
        <f ca="1">IFERROR(__xludf.DUMMYFUNCTION("""COMPUTED_VALUE"""),"Кронштейн К-409")</f>
        <v>Кронштейн К-409</v>
      </c>
      <c r="B506" s="6" t="str">
        <f ca="1">IFERROR(__xludf.DUMMYFUNCTION("""COMPUTED_VALUE"""),"Кронштейн предназначен для крепления инфракрасного оптико-электронного извещателя ИО 409-20 «АЯКС»  (и других ИК-датчиков) к поверхности. Кронштейн обеспечивает поворот извещателя в горизонтальной плоскости на 120град,  вертикальной плоскости на 90град.")</f>
        <v>Кронштейн предназначен для крепления инфракрасного оптико-электронного извещателя ИО 409-20 «АЯКС»  (и других ИК-датчиков) к поверхности. Кронштейн обеспечивает поворот извещателя в горизонтальной плоскости на 120град,  вертикальной плоскости на 90град.</v>
      </c>
      <c r="C506" s="9">
        <f ca="1">IFERROR(__xludf.DUMMYFUNCTION("""COMPUTED_VALUE"""),48.4)</f>
        <v>48.4</v>
      </c>
      <c r="D506" s="6"/>
      <c r="E506" s="8"/>
    </row>
    <row r="507" spans="1:5" ht="409.5">
      <c r="A507" s="5" t="str">
        <f ca="1">IFERROR(__xludf.DUMMYFUNCTION("""COMPUTED_VALUE"""),"ИО 409-21 ""Аякс"" 
ТУ 4372-008-39153777-02")</f>
        <v>ИО 409-21 "Аякс" 
ТУ 4372-008-39153777-02</v>
      </c>
      <c r="B507"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Габаритные размеры 89.6 x 67.5 x 49.8 мм. "&amp;"IP41")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Габаритные размеры 89.6 x 67.5 x 49.8 мм. IP41</v>
      </c>
      <c r="C507" s="9">
        <f ca="1">IFERROR(__xludf.DUMMYFUNCTION("""COMPUTED_VALUE"""),742.5)</f>
        <v>742.5</v>
      </c>
      <c r="D507" s="6"/>
      <c r="E507" s="8"/>
    </row>
    <row r="508" spans="1:5" ht="409.5">
      <c r="A508" s="5" t="str">
        <f ca="1">IFERROR(__xludf.DUMMYFUNCTION("""COMPUTED_VALUE"""),"ИО 409-21-Т ""Аякс"" (с тампером) 
ТУ 4372-008-39153777-02")</f>
        <v>ИО 409-21-Т "Аякс" (с тампером) 
ТУ 4372-008-39153777-02</v>
      </c>
      <c r="B508"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 тампером на вскрытие с выводом контактов тампера на отдельный кл"&amp;"еммник.
 Габаритные размеры 89.6 x 67.5 x 49.8 мм.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 тампером на вскрытие с выводом контактов тампера на отдельный клеммник.
 Габаритные размеры 89.6 x 67.5 x 49.8 мм. IP41</v>
      </c>
      <c r="C508" s="9">
        <f ca="1">IFERROR(__xludf.DUMMYFUNCTION("""COMPUTED_VALUE"""),808.5)</f>
        <v>808.5</v>
      </c>
      <c r="D508" s="6"/>
      <c r="E508" s="8"/>
    </row>
    <row r="509" spans="1:5" ht="409.5">
      <c r="A509" s="5" t="str">
        <f ca="1">IFERROR(__xludf.DUMMYFUNCTION("""COMPUTED_VALUE"""),"ИО 409-21 ""Аякс"" исп.""Штора"" 
ТУ 4372-008-39153777-02")</f>
        <v>ИО 409-21 "Аякс" исп."Штора" 
ТУ 4372-008-39153777-02</v>
      </c>
      <c r="B509"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со сплошной зоной обнаружения типа ""занаве"&amp;"с"" (штора).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со сплошной зоной обнаружения типа "занавес" (штора). IP41</v>
      </c>
      <c r="C509" s="9">
        <f ca="1">IFERROR(__xludf.DUMMYFUNCTION("""COMPUTED_VALUE"""),781)</f>
        <v>781</v>
      </c>
      <c r="D509" s="6"/>
      <c r="E509" s="8"/>
    </row>
    <row r="510" spans="1:5" ht="409.5">
      <c r="A510" s="5" t="str">
        <f ca="1">IFERROR(__xludf.DUMMYFUNCTION("""COMPUTED_VALUE"""),"ИО 409-21-Т ""Аякс"" исп.""Штора"" (с тампером) 
ТУ 4372-008-39153777-02")</f>
        <v>ИО 409-21-Т "Аякс" исп."Штора" (с тампером) 
ТУ 4372-008-39153777-02</v>
      </c>
      <c r="B510"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со сплошной зоной обнаружения типа ""занавес"" (штора) с тампером "&amp;"на вскрытие.")</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со сплошной зоной обнаружения типа "занавес" (штора) с тампером на вскрытие.</v>
      </c>
      <c r="C510" s="9">
        <f ca="1">IFERROR(__xludf.DUMMYFUNCTION("""COMPUTED_VALUE"""),847)</f>
        <v>847</v>
      </c>
      <c r="D510" s="6"/>
      <c r="E510" s="8"/>
    </row>
    <row r="511" spans="1:5" ht="409.5">
      <c r="A511" s="5" t="str">
        <f ca="1">IFERROR(__xludf.DUMMYFUNCTION("""COMPUTED_VALUE"""),"ИО 409-21 ""Аякс"" исп. «Алабай» 
ТУ 4372-008-39153777-02")</f>
        <v>ИО 409-21 "Аякс" исп. «Алабай» 
ТУ 4372-008-39153777-02</v>
      </c>
      <c r="B511"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живот"&amp;"ных. Рекомендуется устанавливать в местах не досягаемых животными.) Габаритные размеры 89.6 x 67.5 x 49.8 мм.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животных. Рекомендуется устанавливать в местах не досягаемых животными.) Габаритные размеры 89.6 x 67.5 x 49.8 мм. IP41</v>
      </c>
      <c r="C511" s="9">
        <f ca="1">IFERROR(__xludf.DUMMYFUNCTION("""COMPUTED_VALUE"""),795.575)</f>
        <v>795.57500000000005</v>
      </c>
      <c r="D511" s="6"/>
      <c r="E511" s="8"/>
    </row>
    <row r="512" spans="1:5" ht="409.5">
      <c r="A512" s="5" t="str">
        <f ca="1">IFERROR(__xludf.DUMMYFUNCTION("""COMPUTED_VALUE"""),"ИО 409-21-Т ""Аякс"" исп.""Алабай"" (с тампером) 
ТУ 4372-008-39153777-02")</f>
        <v>ИО 409-21-Т "Аякс" исп."Алабай" (с тампером) 
ТУ 4372-008-39153777-02</v>
      </c>
      <c r="B512"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живот"&amp;"ных с тампером на вскрытие. Рекомендуется устанавливать в местах не досягаемых животными. Габаритные размеры 89.6 x 67.5 x 49.8 мм.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животных с тампером на вскрытие. Рекомендуется устанавливать в местах не досягаемых животными. Габаритные размеры 89.6 x 67.5 x 49.8 мм. IP41</v>
      </c>
      <c r="C512" s="9">
        <f ca="1">IFERROR(__xludf.DUMMYFUNCTION("""COMPUTED_VALUE"""),862.4)</f>
        <v>862.4</v>
      </c>
      <c r="D512" s="6"/>
      <c r="E512" s="8"/>
    </row>
    <row r="513" spans="1:5" ht="267.75">
      <c r="A513" s="5" t="str">
        <f ca="1">IFERROR(__xludf.DUMMYFUNCTION("""COMPUTED_VALUE"""),"Активный барьер АБИ (1 канал) ПАШК.426439.146 ТУ")</f>
        <v>Активный барьер АБИ (1 канал) ПАШК.426439.146 ТУ</v>
      </c>
      <c r="B513" s="6" t="str">
        <f ca="1">IFERROR(__xludf.DUMMYFUNCTION("""COMPUTED_VALUE"""),"Активный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конта"&amp;"ктами,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3"&amp;"1610.0-2014 (IEC 60079-0:2011). IP 54
обеспечение искробезопасности одного шлейфа")</f>
        <v>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31610.0-2014 (IEC 60079-0:2011). IP 54
обеспечение искробезопасности одного шлейфа</v>
      </c>
      <c r="C513" s="9">
        <f ca="1">IFERROR(__xludf.DUMMYFUNCTION("""COMPUTED_VALUE"""),2387)</f>
        <v>2387</v>
      </c>
      <c r="D513" s="6"/>
      <c r="E513" s="8"/>
    </row>
    <row r="514" spans="1:5" ht="293.25">
      <c r="A514" s="5" t="str">
        <f ca="1">IFERROR(__xludf.DUMMYFUNCTION("""COMPUTED_VALUE"""),"Активный барьер АБИ (2 канала) ПАШК.426439.146 ТУ")</f>
        <v>Активный барьер АБИ (2 канала) ПАШК.426439.146 ТУ</v>
      </c>
      <c r="B514" s="6" t="str">
        <f ca="1">IFERROR(__xludf.DUMMYFUNCTION("""COMPUTED_VALUE"""),"Активный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конта"&amp;"ктами,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3"&amp;"1610.0-2014 (IEC 60079-0:2011). IP 54
обеспечение искробезопасности двух шлейфов, не имеют гальванических связей между каналами и объединяют два барьера в одном корпусе.")</f>
        <v>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31610.0-2014 (IEC 60079-0:2011). IP 54
обеспечение искробезопасности двух шлейфов, не имеют гальванических связей между каналами и объединяют два барьера в одном корпусе.</v>
      </c>
      <c r="C514" s="9">
        <f ca="1">IFERROR(__xludf.DUMMYFUNCTION("""COMPUTED_VALUE"""),2387)</f>
        <v>2387</v>
      </c>
      <c r="D514" s="6"/>
      <c r="E514" s="8"/>
    </row>
    <row r="515" spans="1:5" ht="51">
      <c r="A515" s="5" t="str">
        <f ca="1">IFERROR(__xludf.DUMMYFUNCTION("""COMPUTED_VALUE"""),"ПКВ М12х1.5 белый")</f>
        <v>ПКВ М12х1.5 белый</v>
      </c>
      <c r="B515" s="6" t="str">
        <f ca="1">IFERROR(__xludf.DUMMYFUNCTION("""COMPUTED_VALUE"""),"Пластиковые кабельные вводы ПКВ 
 AБС-пластик, IP66/IP68, УХЛ1
Вводная резьба 8 мм, диаметр кабеля 3-6.5 мм, цвет белый")</f>
        <v>Пластиковые кабельные вводы ПКВ 
 AБС-пластик, IP66/IP68, УХЛ1
Вводная резьба 8 мм, диаметр кабеля 3-6.5 мм, цвет белый</v>
      </c>
      <c r="C515" s="9">
        <f ca="1">IFERROR(__xludf.DUMMYFUNCTION("""COMPUTED_VALUE"""),30.8)</f>
        <v>30.8</v>
      </c>
      <c r="D515" s="6"/>
      <c r="E515" s="8"/>
    </row>
    <row r="516" spans="1:5" ht="51">
      <c r="A516" s="5" t="str">
        <f ca="1">IFERROR(__xludf.DUMMYFUNCTION("""COMPUTED_VALUE"""),"ПКВ М20х1.5 белый")</f>
        <v>ПКВ М20х1.5 белый</v>
      </c>
      <c r="B516" s="6" t="str">
        <f ca="1">IFERROR(__xludf.DUMMYFUNCTION("""COMPUTED_VALUE"""),"Пластиковые кабельные вводы ПКВ 
 AБС-пластик, IP66/IP68, УХЛ1
Вводная резьба 15 мм, диаметр кабеля 6-12 мм, цвет белый")</f>
        <v>Пластиковые кабельные вводы ПКВ 
 AБС-пластик, IP66/IP68, УХЛ1
Вводная резьба 15 мм, диаметр кабеля 6-12 мм, цвет белый</v>
      </c>
      <c r="C516" s="9">
        <f ca="1">IFERROR(__xludf.DUMMYFUNCTION("""COMPUTED_VALUE"""),63.8)</f>
        <v>63.8</v>
      </c>
      <c r="D516" s="6"/>
      <c r="E516" s="8"/>
    </row>
    <row r="517" spans="1:5" ht="51">
      <c r="A517" s="5" t="str">
        <f ca="1">IFERROR(__xludf.DUMMYFUNCTION("""COMPUTED_VALUE"""),"ПКВ М20х1.5 голубой")</f>
        <v>ПКВ М20х1.5 голубой</v>
      </c>
      <c r="B517" s="6" t="str">
        <f ca="1">IFERROR(__xludf.DUMMYFUNCTION("""COMPUTED_VALUE"""),"Пластиковые кабельные вводы ПКВ 
 AБС-пластик, IP66/IP68, УХЛ1
 Вводная резьба 15мм, диаметр кабеля 6-12мм, цвет голубой")</f>
        <v>Пластиковые кабельные вводы ПКВ 
 AБС-пластик, IP66/IP68, УХЛ1
 Вводная резьба 15мм, диаметр кабеля 6-12мм, цвет голубой</v>
      </c>
      <c r="C517" s="9">
        <f ca="1">IFERROR(__xludf.DUMMYFUNCTION("""COMPUTED_VALUE"""),121)</f>
        <v>121</v>
      </c>
      <c r="D517" s="6"/>
      <c r="E517" s="8"/>
    </row>
    <row r="518" spans="1:5" ht="51">
      <c r="A518" s="5" t="str">
        <f ca="1">IFERROR(__xludf.DUMMYFUNCTION("""COMPUTED_VALUE"""),"ПКВ М25х1.5 (11-17 мм), черный")</f>
        <v>ПКВ М25х1.5 (11-17 мм), черный</v>
      </c>
      <c r="B518" s="6" t="str">
        <f ca="1">IFERROR(__xludf.DUMMYFUNCTION("""COMPUTED_VALUE"""),"Пластиковые кабельные вводы ПКВ 
AБС-пластик, IP68, УХЛ1 Вводная резьба 15мм, диаметр кабеля 11-17 мм, цвет черный")</f>
        <v>Пластиковые кабельные вводы ПКВ 
AБС-пластик, IP68, УХЛ1 Вводная резьба 15мм, диаметр кабеля 11-17 мм, цвет черный</v>
      </c>
      <c r="C518" s="9">
        <f ca="1">IFERROR(__xludf.DUMMYFUNCTION("""COMPUTED_VALUE"""),118)</f>
        <v>118</v>
      </c>
      <c r="D518" s="6"/>
      <c r="E518" s="8"/>
    </row>
    <row r="519" spans="1:5" ht="51">
      <c r="A519" s="5" t="str">
        <f ca="1">IFERROR(__xludf.DUMMYFUNCTION("""COMPUTED_VALUE"""),"ПКВ М25х1.5 (13-18 мм), белый (светло-серый)")</f>
        <v>ПКВ М25х1.5 (13-18 мм), белый (светло-серый)</v>
      </c>
      <c r="B519" s="6" t="str">
        <f ca="1">IFERROR(__xludf.DUMMYFUNCTION("""COMPUTED_VALUE"""),"Пластиковые кабельные вводы ПКВ 
AБС-пластик, IP68, УХЛ1 Вводная резьба 15мм, диаметр кабеля 13-18 мм, цвет белый")</f>
        <v>Пластиковые кабельные вводы ПКВ 
AБС-пластик, IP68, УХЛ1 Вводная резьба 15мм, диаметр кабеля 13-18 мм, цвет белый</v>
      </c>
      <c r="C519" s="9">
        <f ca="1">IFERROR(__xludf.DUMMYFUNCTION("""COMPUTED_VALUE"""),169.4)</f>
        <v>169.4</v>
      </c>
      <c r="D519" s="6"/>
      <c r="E519" s="8"/>
    </row>
    <row r="520" spans="1:5" ht="25.5">
      <c r="A520" s="5" t="str">
        <f ca="1">IFERROR(__xludf.DUMMYFUNCTION("""COMPUTED_VALUE"""),"МВ20х1.5")</f>
        <v>МВ20х1.5</v>
      </c>
      <c r="B520" s="6" t="str">
        <f ca="1">IFERROR(__xludf.DUMMYFUNCTION("""COMPUTED_VALUE"""),"Вводная резьба 20х1.5 мм, Диаметр кабеля 6 - 12 мм")</f>
        <v>Вводная резьба 20х1.5 мм, Диаметр кабеля 6 - 12 мм</v>
      </c>
      <c r="C520" s="9">
        <f ca="1">IFERROR(__xludf.DUMMYFUNCTION("""COMPUTED_VALUE"""),242)</f>
        <v>242</v>
      </c>
      <c r="D520" s="6"/>
      <c r="E520" s="8"/>
    </row>
    <row r="521" spans="1:5" ht="25.5">
      <c r="A521" s="5" t="str">
        <f ca="1">IFERROR(__xludf.DUMMYFUNCTION("""COMPUTED_VALUE"""),"МВ25х1.5")</f>
        <v>МВ25х1.5</v>
      </c>
      <c r="B521" s="6" t="str">
        <f ca="1">IFERROR(__xludf.DUMMYFUNCTION("""COMPUTED_VALUE"""),"Вводная резьба 25х1.5 мм, Диаметр кабеля 10 - 16 мм")</f>
        <v>Вводная резьба 25х1.5 мм, Диаметр кабеля 10 - 16 мм</v>
      </c>
      <c r="C521" s="9">
        <f ca="1">IFERROR(__xludf.DUMMYFUNCTION("""COMPUTED_VALUE"""),322)</f>
        <v>322</v>
      </c>
      <c r="D521" s="6"/>
      <c r="E521" s="8"/>
    </row>
    <row r="522" spans="1:5" ht="409.5">
      <c r="A522" s="5" t="str">
        <f ca="1">IFERROR(__xludf.DUMMYFUNCTION("""COMPUTED_VALUE"""),"ИО 102-58 N исп.200 с магнитом М-100 ПАШК.425119.130")</f>
        <v>ИО 102-58 N исп.200 с магнитом М-100 ПАШК.425119.130</v>
      </c>
      <c r="B522"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 корпус нержавеющая сталь 12Х18Н10Т. Штуцер выбрать</v>
      </c>
      <c r="C522" s="9">
        <f ca="1">IFERROR(__xludf.DUMMYFUNCTION("""COMPUTED_VALUE"""),11413.754)</f>
        <v>11413.754000000001</v>
      </c>
      <c r="D522" s="6"/>
      <c r="E522" s="8"/>
    </row>
    <row r="523" spans="1:5" ht="409.5">
      <c r="A523" s="5" t="str">
        <f ca="1">IFERROR(__xludf.DUMMYFUNCTION("""COMPUTED_VALUE"""),"ИО 102-58 N исп.300 с магнитом М-100 ПАШК.425119.130")</f>
        <v>ИО 102-58 N исп.300 с магнитом М-100 ПАШК.425119.130</v>
      </c>
      <c r="B523"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нержавеющая сталь 12Х18Н10Т. Штуцер выбрать</v>
      </c>
      <c r="C523" s="9">
        <f ca="1">IFERROR(__xludf.DUMMYFUNCTION("""COMPUTED_VALUE"""),11671.396)</f>
        <v>11671.396000000001</v>
      </c>
      <c r="D523" s="6"/>
      <c r="E523" s="8"/>
    </row>
    <row r="524" spans="1:5" ht="409.5">
      <c r="A524" s="5" t="str">
        <f ca="1">IFERROR(__xludf.DUMMYFUNCTION("""COMPUTED_VALUE"""),"ИО 102-58 N исп.200 с магнитом М-200 ПАШК.425119.130")</f>
        <v>ИО 102-58 N исп.200 с магнитом М-200 ПАШК.425119.130</v>
      </c>
      <c r="B524"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 корпус нержавеющая сталь 12Х18Н10Т. Штуцер выбрать</v>
      </c>
      <c r="C524" s="9">
        <f ca="1">IFERROR(__xludf.DUMMYFUNCTION("""COMPUTED_VALUE"""),8530.379)</f>
        <v>8530.3790000000008</v>
      </c>
      <c r="D524" s="6"/>
      <c r="E524" s="8"/>
    </row>
    <row r="525" spans="1:5" ht="409.5">
      <c r="A525" s="5" t="str">
        <f ca="1">IFERROR(__xludf.DUMMYFUNCTION("""COMPUTED_VALUE"""),"ИО 102-58 N исп.300 с магнитом М-200 ПАШК.425119.130")</f>
        <v>ИО 102-58 N исп.300 с магнитом М-200 ПАШК.425119.130</v>
      </c>
      <c r="B525"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нержавеющая сталь 12Х18Н10Т. Штуцер выбрать</v>
      </c>
      <c r="C525" s="9">
        <f ca="1">IFERROR(__xludf.DUMMYFUNCTION("""COMPUTED_VALUE"""),8732.823)</f>
        <v>8732.8230000000003</v>
      </c>
      <c r="D525" s="6"/>
      <c r="E525" s="8"/>
    </row>
    <row r="526" spans="1:5" ht="409.5">
      <c r="A526" s="5" t="str">
        <f ca="1">IFERROR(__xludf.DUMMYFUNCTION("""COMPUTED_VALUE"""),"ИО 102-58 Al исп.200 с магнитом М-100 ПАШК.425119.130")</f>
        <v>ИО 102-58 Al исп.200 с магнитом М-100 ПАШК.425119.130</v>
      </c>
      <c r="B526"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 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 корпус алюминиевый сплав Д16Т. Штуцер выбрать</v>
      </c>
      <c r="C526" s="9">
        <f ca="1">IFERROR(__xludf.DUMMYFUNCTION("""COMPUTED_VALUE"""),11016.302)</f>
        <v>11016.302</v>
      </c>
      <c r="D526" s="6"/>
      <c r="E526" s="8"/>
    </row>
    <row r="527" spans="1:5" ht="409.5">
      <c r="A527" s="5" t="str">
        <f ca="1">IFERROR(__xludf.DUMMYFUNCTION("""COMPUTED_VALUE"""),"ИО 102-58 Al исп.300 с магнитом М-100 ПАШК.425119.130")</f>
        <v>ИО 102-58 Al исп.300 с магнитом М-100 ПАШК.425119.130</v>
      </c>
      <c r="B527"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алюминиевый сплав Д16Т. Штуцер выбрать</v>
      </c>
      <c r="C527" s="9">
        <f ca="1">IFERROR(__xludf.DUMMYFUNCTION("""COMPUTED_VALUE"""),11266.508)</f>
        <v>11266.508</v>
      </c>
      <c r="D527" s="6"/>
      <c r="E527" s="8"/>
    </row>
    <row r="528" spans="1:5" ht="409.5">
      <c r="A528" s="5" t="str">
        <f ca="1">IFERROR(__xludf.DUMMYFUNCTION("""COMPUTED_VALUE"""),"ИО 102-58 Al исп.200 с магнитом М-200 ПАШК.425119.130")</f>
        <v>ИО 102-58 Al исп.200 с магнитом М-200 ПАШК.425119.130</v>
      </c>
      <c r="B528"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М25,корпус алюминиевый сплав Д16Т. Штуцер выбрать</v>
      </c>
      <c r="C528" s="9">
        <f ca="1">IFERROR(__xludf.DUMMYFUNCTION("""COMPUTED_VALUE"""),8132.762)</f>
        <v>8132.7619999999997</v>
      </c>
      <c r="D528" s="6"/>
      <c r="E528" s="8"/>
    </row>
    <row r="529" spans="1:5" ht="409.5">
      <c r="A529" s="5" t="str">
        <f ca="1">IFERROR(__xludf.DUMMYFUNCTION("""COMPUTED_VALUE"""),"ИО 102-58 Al исп.300 с магнитом М-200 ПАШК.425119.130")</f>
        <v>ИО 102-58 Al исп.300 с магнитом М-200 ПАШК.425119.130</v>
      </c>
      <c r="B529"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алюминиевый сплав Д16Т. Штуцер выбрать</v>
      </c>
      <c r="C529" s="9">
        <f ca="1">IFERROR(__xludf.DUMMYFUNCTION("""COMPUTED_VALUE"""),8327.935)</f>
        <v>8327.9349999999995</v>
      </c>
      <c r="D529" s="6"/>
      <c r="E529" s="8"/>
    </row>
    <row r="530" spans="1:5" ht="25.5">
      <c r="A530" s="5" t="str">
        <f ca="1">IFERROR(__xludf.DUMMYFUNCTION("""COMPUTED_VALUE"""),"УК-2П на 4 пары винтовых колодок")</f>
        <v>УК-2П на 4 пары винтовых колодок</v>
      </c>
      <c r="B530" s="6" t="str">
        <f ca="1">IFERROR(__xludf.DUMMYFUNCTION("""COMPUTED_VALUE"""),"IP40. На 4 пары винтовых колодок (низкая, крышка под винт)")</f>
        <v>IP40. На 4 пары винтовых колодок (низкая, крышка под винт)</v>
      </c>
      <c r="C530" s="9">
        <f ca="1">IFERROR(__xludf.DUMMYFUNCTION("""COMPUTED_VALUE"""),57.8622)</f>
        <v>57.862200000000001</v>
      </c>
      <c r="D530" s="6"/>
      <c r="E530" s="8"/>
    </row>
    <row r="531" spans="1:5" ht="25.5">
      <c r="A531" s="5" t="str">
        <f ca="1">IFERROR(__xludf.DUMMYFUNCTION("""COMPUTED_VALUE"""),"УК-2П на 5 пар винтовых колодок")</f>
        <v>УК-2П на 5 пар винтовых колодок</v>
      </c>
      <c r="B531" s="6" t="str">
        <f ca="1">IFERROR(__xludf.DUMMYFUNCTION("""COMPUTED_VALUE"""),"IP40. На 5 пар винтовых колодок (низкая, крышка под защелку)")</f>
        <v>IP40. На 5 пар винтовых колодок (низкая, крышка под защелку)</v>
      </c>
      <c r="C531" s="9">
        <f ca="1">IFERROR(__xludf.DUMMYFUNCTION("""COMPUTED_VALUE"""),65.098)</f>
        <v>65.097999999999999</v>
      </c>
      <c r="D531" s="6"/>
      <c r="E531" s="8"/>
    </row>
    <row r="532" spans="1:5" ht="25.5">
      <c r="A532" s="5" t="str">
        <f ca="1">IFERROR(__xludf.DUMMYFUNCTION("""COMPUTED_VALUE"""),"УК-2П с тампером")</f>
        <v>УК-2П с тампером</v>
      </c>
      <c r="B532" s="6" t="str">
        <f ca="1">IFERROR(__xludf.DUMMYFUNCTION("""COMPUTED_VALUE"""),"IP40. На 4 пары винтовых колодок. с тампером ")</f>
        <v xml:space="preserve">IP40. На 4 пары винтовых колодок. с тампером </v>
      </c>
      <c r="C532" s="9">
        <f ca="1">IFERROR(__xludf.DUMMYFUNCTION("""COMPUTED_VALUE"""),338.8)</f>
        <v>338.8</v>
      </c>
      <c r="D532" s="6"/>
      <c r="E532" s="8"/>
    </row>
    <row r="533" spans="1:5" ht="25.5">
      <c r="A533" s="5" t="str">
        <f ca="1">IFERROR(__xludf.DUMMYFUNCTION("""COMPUTED_VALUE"""),"УК-2П на 4 пары клеммных колодок")</f>
        <v>УК-2П на 4 пары клеммных колодок</v>
      </c>
      <c r="B533" s="6" t="str">
        <f ca="1">IFERROR(__xludf.DUMMYFUNCTION("""COMPUTED_VALUE"""),"IP40. На 4 пары клеммных колодок (высокая, крышка под винт)")</f>
        <v>IP40. На 4 пары клеммных колодок (высокая, крышка под винт)</v>
      </c>
      <c r="C533" s="9">
        <f ca="1">IFERROR(__xludf.DUMMYFUNCTION("""COMPUTED_VALUE"""),54.45)</f>
        <v>54.45</v>
      </c>
      <c r="D533" s="6"/>
      <c r="E533" s="8"/>
    </row>
    <row r="534" spans="1:5" ht="25.5">
      <c r="A534" s="5" t="str">
        <f ca="1">IFERROR(__xludf.DUMMYFUNCTION("""COMPUTED_VALUE"""),"УК-2П на 5 пар клеммных колодок")</f>
        <v>УК-2П на 5 пар клеммных колодок</v>
      </c>
      <c r="B534" s="6" t="str">
        <f ca="1">IFERROR(__xludf.DUMMYFUNCTION("""COMPUTED_VALUE"""),"IP40. На 5 пар клеммных колодок (высокая, крышка под защелку)")</f>
        <v>IP40. На 5 пар клеммных колодок (высокая, крышка под защелку)</v>
      </c>
      <c r="C534" s="9">
        <f ca="1">IFERROR(__xludf.DUMMYFUNCTION("""COMPUTED_VALUE"""),57.6686)</f>
        <v>57.668599999999998</v>
      </c>
      <c r="D534" s="6"/>
      <c r="E534" s="8"/>
    </row>
    <row r="535" spans="1:5" ht="25.5">
      <c r="A535" s="5" t="str">
        <f ca="1">IFERROR(__xludf.DUMMYFUNCTION("""COMPUTED_VALUE"""),"УК-2П с керамической клеммной колодкой (на 3 пары)")</f>
        <v>УК-2П с керамической клеммной колодкой (на 3 пары)</v>
      </c>
      <c r="B535" s="6" t="str">
        <f ca="1">IFERROR(__xludf.DUMMYFUNCTION("""COMPUTED_VALUE"""),"Керамическая клеммная колодка на 3 пары (высокая, крышка под защелку)")</f>
        <v>Керамическая клеммная колодка на 3 пары (высокая, крышка под защелку)</v>
      </c>
      <c r="C535" s="9">
        <f ca="1">IFERROR(__xludf.DUMMYFUNCTION("""COMPUTED_VALUE"""),136.1008)</f>
        <v>136.10079999999999</v>
      </c>
      <c r="D535" s="6"/>
      <c r="E535" s="8"/>
    </row>
    <row r="536" spans="1:5" ht="165.75">
      <c r="A536" s="5" t="str">
        <f ca="1">IFERROR(__xludf.DUMMYFUNCTION("""COMPUTED_VALUE"""),"КС-2")</f>
        <v>КС-2</v>
      </c>
      <c r="B536"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2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2 пары клемм, 39 х 39 х 20 мм</v>
      </c>
      <c r="C536" s="9">
        <f ca="1">IFERROR(__xludf.DUMMYFUNCTION("""COMPUTED_VALUE"""),41.8781)</f>
        <v>41.878100000000003</v>
      </c>
      <c r="D536" s="6"/>
      <c r="E536" s="8"/>
    </row>
    <row r="537" spans="1:5" ht="165.75">
      <c r="A537" s="5" t="str">
        <f ca="1">IFERROR(__xludf.DUMMYFUNCTION("""COMPUTED_VALUE"""),"КС-3")</f>
        <v>КС-3</v>
      </c>
      <c r="B537"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3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3 пары клемм, 39 х 39 х 20 мм</v>
      </c>
      <c r="C537" s="9">
        <f ca="1">IFERROR(__xludf.DUMMYFUNCTION("""COMPUTED_VALUE"""),45.2298)</f>
        <v>45.229799999999997</v>
      </c>
      <c r="D537" s="6"/>
      <c r="E537" s="8"/>
    </row>
    <row r="538" spans="1:5" ht="165.75">
      <c r="A538" s="5" t="str">
        <f ca="1">IFERROR(__xludf.DUMMYFUNCTION("""COMPUTED_VALUE"""),"КС-4")</f>
        <v>КС-4</v>
      </c>
      <c r="B538"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4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4 пары клемм, 39 х 39 х 20 мм</v>
      </c>
      <c r="C538" s="9">
        <f ca="1">IFERROR(__xludf.DUMMYFUNCTION("""COMPUTED_VALUE"""),50.2513)</f>
        <v>50.251300000000001</v>
      </c>
      <c r="D538" s="6"/>
      <c r="E538" s="8"/>
    </row>
    <row r="539" spans="1:5" ht="165.75">
      <c r="A539" s="5" t="str">
        <f ca="1">IFERROR(__xludf.DUMMYFUNCTION("""COMPUTED_VALUE"""),"КС-4 с тампером")</f>
        <v>КС-4 с тампером</v>
      </c>
      <c r="B539"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4 пары клемм, тампер,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4 пары клемм, тампер, 39 х 39 х 20 мм</v>
      </c>
      <c r="C539" s="9">
        <f ca="1">IFERROR(__xludf.DUMMYFUNCTION("""COMPUTED_VALUE"""),338.8)</f>
        <v>338.8</v>
      </c>
      <c r="D539" s="6"/>
      <c r="E539" s="8"/>
    </row>
    <row r="540" spans="1:5" ht="165.75">
      <c r="A540" s="5" t="str">
        <f ca="1">IFERROR(__xludf.DUMMYFUNCTION("""COMPUTED_VALUE"""),"КС-2 (цвет по запросу)")</f>
        <v>КС-2 (цвет по запросу)</v>
      </c>
      <c r="B540"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2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2 пары клемм, 39 х 39 х 20 мм</v>
      </c>
      <c r="C540" s="9">
        <f ca="1">IFERROR(__xludf.DUMMYFUNCTION("""COMPUTED_VALUE"""),43.5358)</f>
        <v>43.535800000000002</v>
      </c>
      <c r="D540" s="6"/>
      <c r="E540" s="8"/>
    </row>
    <row r="541" spans="1:5" ht="165.75">
      <c r="A541" s="5" t="str">
        <f ca="1">IFERROR(__xludf.DUMMYFUNCTION("""COMPUTED_VALUE"""),"КС-3 (цвет по запросу)")</f>
        <v>КС-3 (цвет по запросу)</v>
      </c>
      <c r="B541"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3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3 пары клемм, 39 х 39 х 20 мм</v>
      </c>
      <c r="C541" s="9">
        <f ca="1">IFERROR(__xludf.DUMMYFUNCTION("""COMPUTED_VALUE"""),46.8875)</f>
        <v>46.887500000000003</v>
      </c>
      <c r="D541" s="6"/>
      <c r="E541" s="8"/>
    </row>
    <row r="542" spans="1:5" ht="165.75">
      <c r="A542" s="5" t="str">
        <f ca="1">IFERROR(__xludf.DUMMYFUNCTION("""COMPUTED_VALUE"""),"КС-4 (цвет по запросу)")</f>
        <v>КС-4 (цвет по запросу)</v>
      </c>
      <c r="B542"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4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4 пары клемм, 39 х 39 х 20 мм</v>
      </c>
      <c r="C542" s="9">
        <f ca="1">IFERROR(__xludf.DUMMYFUNCTION("""COMPUTED_VALUE"""),52.3446)</f>
        <v>52.3446</v>
      </c>
      <c r="D542" s="6"/>
      <c r="E542" s="8"/>
    </row>
    <row r="543" spans="1:5" ht="89.25">
      <c r="A543" s="5" t="str">
        <f ca="1">IFERROR(__xludf.DUMMYFUNCTION("""COMPUTED_VALUE"""),"КРТП 10х2")</f>
        <v>КРТП 10х2</v>
      </c>
      <c r="B543" s="6" t="str">
        <f ca="1">IFERROR(__xludf.DUMMYFUNCTION("""COMPUTED_VALUE"""),"Коробка распределительная телефонная плоская,  20 пар контактов Предназначена для монтажа, расключения, коммутации телефонных и кабельных линий, сигнальных шлейфов охранно-пожарной сигнализации, цепей питания.")</f>
        <v>Коробка распределительная телефонная плоская,  20 пар контактов Предназначена для монтажа, расключения, коммутации телефонных и кабельных линий, сигнальных шлейфов охранно-пожарной сигнализации, цепей питания.</v>
      </c>
      <c r="C543" s="9">
        <f ca="1">IFERROR(__xludf.DUMMYFUNCTION("""COMPUTED_VALUE"""),196)</f>
        <v>196</v>
      </c>
      <c r="D543" s="6"/>
      <c r="E543" s="8"/>
    </row>
    <row r="544" spans="1:5" ht="114.75">
      <c r="A544" s="5" t="str">
        <f ca="1">IFERROR(__xludf.DUMMYFUNCTION("""COMPUTED_VALUE"""),"КРТП 10х2-Т")</f>
        <v>КРТП 10х2-Т</v>
      </c>
      <c r="B544" s="6" t="str">
        <f ca="1">IFERROR(__xludf.DUMMYFUNCTION("""COMPUTED_VALUE"""),"Коробка распределительная телефонная плоская, 20 пар контактов, с датчиком вскрытия (тампером).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охра"&amp;"нно-пожарной сигнализации, цепей питания.")</f>
        <v>Коробка распределительная телефонная плоская, 20 пар контактов, с датчиком вскрытия (тампером).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охранно-пожарной сигнализации, цепей питания.</v>
      </c>
      <c r="C544" s="9">
        <f ca="1">IFERROR(__xludf.DUMMYFUNCTION("""COMPUTED_VALUE"""),380)</f>
        <v>380</v>
      </c>
      <c r="D544" s="6"/>
      <c r="E544" s="8"/>
    </row>
    <row r="545" spans="1:5" ht="89.25">
      <c r="A545" s="5" t="str">
        <f ca="1">IFERROR(__xludf.DUMMYFUNCTION("""COMPUTED_VALUE"""),"КРТП 10х2 IP66 АЯКС
(глухая)")</f>
        <v>КРТП 10х2 IP66 АЯКС
(глухая)</v>
      </c>
      <c r="B545" s="6" t="str">
        <f ca="1">IFERROR(__xludf.DUMMYFUNCTION("""COMPUTED_VALUE"""),"Коробка распределительная телефонная, 20 пар контактов. Степень защиты IP66 по ГОСТ 14254-2015. Без кабельных вводов. Для монтажа, расключения, коммутации телефонных и кабельных линий, сигнальных шлейфов охранно-пожарной сигнализации, цепей питания.")</f>
        <v>Коробка распределительная телефонная, 20 пар контактов. Степень защиты IP66 по ГОСТ 14254-2015. Без кабельных вводов. Для монтажа, расключения, коммутации телефонных и кабельных линий, сигнальных шлейфов охранно-пожарной сигнализации, цепей питания.</v>
      </c>
      <c r="C545" s="9">
        <f ca="1">IFERROR(__xludf.DUMMYFUNCTION("""COMPUTED_VALUE"""),1320)</f>
        <v>1320</v>
      </c>
      <c r="D545" s="6"/>
      <c r="E545" s="8"/>
    </row>
    <row r="546" spans="1:5" ht="140.25">
      <c r="A546" s="5" t="str">
        <f ca="1">IFERROR(__xludf.DUMMYFUNCTION("""COMPUTED_VALUE"""),"КРТП 10х2-Т IP66 АЯКС
(глухая)")</f>
        <v>КРТП 10х2-Т IP66 АЯКС
(глухая)</v>
      </c>
      <c r="B546" s="6" t="str">
        <f ca="1">IFERROR(__xludf.DUMMYFUNCTION("""COMPUTED_VALUE"""),"Коробка распределительная телефонная, 20 пар контактов, с датчиком вскрытия (тампером). Степень защиты IP66 по ГОСТ 14254-2015. Без кабельных вводов. Коммутация сигнала несанкционированного проникновения. Предназначена для монтажа, расключения, коммутации"&amp;" телефонных и кабельных линий, сигнальных шлейфов охранно-пожарной сигнализации, цепей питания.")</f>
        <v>Коробка распределительная телефонная, 20 пар контактов, с датчиком вскрытия (тампером). Степень защиты IP66 по ГОСТ 14254-2015. Без кабельных вводов.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охранно-пожарной сигнализации, цепей питания.</v>
      </c>
      <c r="C546" s="9">
        <f ca="1">IFERROR(__xludf.DUMMYFUNCTION("""COMPUTED_VALUE"""),1540)</f>
        <v>1540</v>
      </c>
      <c r="D546" s="6"/>
      <c r="E546" s="8"/>
    </row>
    <row r="547" spans="1:5" ht="102">
      <c r="A547" s="5" t="str">
        <f ca="1">IFERROR(__xludf.DUMMYFUNCTION("""COMPUTED_VALUE"""),"КРТП 10х2 IP66 АЯКС (4 каб.ввода)")</f>
        <v>КРТП 10х2 IP66 АЯКС (4 каб.ввода)</v>
      </c>
      <c r="B547" s="6" t="str">
        <f ca="1">IFERROR(__xludf.DUMMYFUNCTION("""COMPUTED_VALUE"""),"Коробка распределительная телефонная, 20 пар контактов. Степень защиты IP66 по ГОСТ 14254-2015. Четыре кабельных ввода под кабель диаметром от 6 до 12 мм. Для монтажа, расключения, коммутации телефонных и кабельных линий, сигнальных шлейфов охранно-пожарн"&amp;"ой сигнализации, цепей питания.")</f>
        <v>Коробка распределительная телефонная, 20 пар контактов. Степень защиты IP66 по ГОСТ 14254-2015. Четыре кабельных ввода под кабель диаметром от 6 до 12 мм. Для монтажа, расключения, коммутации телефонных и кабельных линий, сигнальных шлейфов охранно-пожарной сигнализации, цепей питания.</v>
      </c>
      <c r="C547" s="9">
        <f ca="1">IFERROR(__xludf.DUMMYFUNCTION("""COMPUTED_VALUE"""),1662)</f>
        <v>1662</v>
      </c>
      <c r="D547" s="6"/>
      <c r="E547" s="8"/>
    </row>
    <row r="548" spans="1:5" ht="153">
      <c r="A548" s="5" t="str">
        <f ca="1">IFERROR(__xludf.DUMMYFUNCTION("""COMPUTED_VALUE"""),"КРТП 10х2-Т IP66 АЯКС (4 каб.ввода)")</f>
        <v>КРТП 10х2-Т IP66 АЯКС (4 каб.ввода)</v>
      </c>
      <c r="B548" s="6" t="str">
        <f ca="1">IFERROR(__xludf.DUMMYFUNCTION("""COMPUTED_VALUE"""),"Коробка распределительная телефонная, 20 пар контактов, с датчиком вскрытия (тампером). Степень защиты IP66 по ГОСТ 14254-2015. Четыре кабельных ввода под кабель диаметром от 6 до 12 мм . Коммутация сигнала несанкционированного проникновения. Предназначен"&amp;"а для монтажа, расключения, коммутации телефонных и кабельных линий, сигнальных шлейфов охранно-пожарной сигнализации, цепей питания.")</f>
        <v>Коробка распределительная телефонная, 20 пар контактов, с датчиком вскрытия (тампером). Степень защиты IP66 по ГОСТ 14254-2015. Четыре кабельных ввода под кабель диаметром от 6 до 12 мм .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охранно-пожарной сигнализации, цепей питания.</v>
      </c>
      <c r="C548" s="9">
        <f ca="1">IFERROR(__xludf.DUMMYFUNCTION("""COMPUTED_VALUE"""),1880)</f>
        <v>1880</v>
      </c>
      <c r="D548" s="6"/>
      <c r="E548" s="8"/>
    </row>
    <row r="549" spans="1:5" ht="102">
      <c r="A549" s="5" t="str">
        <f ca="1">IFERROR(__xludf.DUMMYFUNCTION("""COMPUTED_VALUE"""),"КРТП 10х2 IP66 АЯКС (6 каб.вводов)")</f>
        <v>КРТП 10х2 IP66 АЯКС (6 каб.вводов)</v>
      </c>
      <c r="B549" s="6" t="str">
        <f ca="1">IFERROR(__xludf.DUMMYFUNCTION("""COMPUTED_VALUE"""),"Коробка распределительная телефонная, 20 пар контактов. Степень защиты IP66 по ГОСТ 14254-2015. Шесть кабельных ввода под кабель диаметром от 6 до 12 мм. Для монтажа, расключения, коммутации телефонных и кабельных линий, сигнальных шлейфов охранно-пожарно"&amp;"й сигнализации, цепей питания.")</f>
        <v>Коробка распределительная телефонная, 20 пар контактов. Степень защиты IP66 по ГОСТ 14254-2015. Шесть кабельных ввода под кабель диаметром от 6 до 12 мм. Для монтажа, расключения, коммутации телефонных и кабельных линий, сигнальных шлейфов охранно-пожарной сигнализации, цепей питания.</v>
      </c>
      <c r="C549" s="9">
        <f ca="1">IFERROR(__xludf.DUMMYFUNCTION("""COMPUTED_VALUE"""),2280)</f>
        <v>2280</v>
      </c>
      <c r="D549" s="6"/>
      <c r="E549" s="8"/>
    </row>
    <row r="550" spans="1:5" ht="242.25">
      <c r="A550" s="5" t="str">
        <f ca="1">IFERROR(__xludf.DUMMYFUNCTION("""COMPUTED_VALUE"""),"Гибкий переход УС-4х4/200 ПАШК.685552.142")</f>
        <v>Гибкий переход УС-4х4/200 ПАШК.685552.142</v>
      </c>
      <c r="B550"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200мм,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200мм, 4 пары клемм.</v>
      </c>
      <c r="C550" s="9">
        <f ca="1">IFERROR(__xludf.DUMMYFUNCTION("""COMPUTED_VALUE"""),220)</f>
        <v>220</v>
      </c>
      <c r="D550" s="6"/>
      <c r="E550" s="8"/>
    </row>
    <row r="551" spans="1:5" ht="242.25">
      <c r="A551" s="5" t="str">
        <f ca="1">IFERROR(__xludf.DUMMYFUNCTION("""COMPUTED_VALUE"""),"Гибкий переход УС-4х4/300 ПАШК.685552.142")</f>
        <v>Гибкий переход УС-4х4/300 ПАШК.685552.142</v>
      </c>
      <c r="B551"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300мм,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300мм, 4 пары клемм.</v>
      </c>
      <c r="C551" s="9">
        <f ca="1">IFERROR(__xludf.DUMMYFUNCTION("""COMPUTED_VALUE"""),224.4)</f>
        <v>224.4</v>
      </c>
      <c r="D551" s="6"/>
      <c r="E551" s="8"/>
    </row>
    <row r="552" spans="1:5" ht="242.25">
      <c r="A552" s="5" t="str">
        <f ca="1">IFERROR(__xludf.DUMMYFUNCTION("""COMPUTED_VALUE"""),"Гибкий переход УС-4х4/400 ПАШК.685552.142")</f>
        <v>Гибкий переход УС-4х4/400 ПАШК.685552.142</v>
      </c>
      <c r="B552"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400мм,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400мм, 4 пары клемм.</v>
      </c>
      <c r="C552" s="9">
        <f ca="1">IFERROR(__xludf.DUMMYFUNCTION("""COMPUTED_VALUE"""),231)</f>
        <v>231</v>
      </c>
      <c r="D552" s="6"/>
      <c r="E552" s="8"/>
    </row>
    <row r="553" spans="1:5" ht="242.25">
      <c r="A553" s="5" t="str">
        <f ca="1">IFERROR(__xludf.DUMMYFUNCTION("""COMPUTED_VALUE"""),"Гибкий переход УС-4х4/500 ПАШК.685552.142")</f>
        <v>Гибкий переход УС-4х4/500 ПАШК.685552.142</v>
      </c>
      <c r="B553"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500мм,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500мм, 4 пары клемм.</v>
      </c>
      <c r="C553" s="9">
        <f ca="1">IFERROR(__xludf.DUMMYFUNCTION("""COMPUTED_VALUE"""),237.6)</f>
        <v>237.6</v>
      </c>
      <c r="D553" s="6"/>
      <c r="E553" s="8"/>
    </row>
    <row r="554" spans="1:5" ht="76.5">
      <c r="A554" s="5" t="str">
        <f ca="1">IFERROR(__xludf.DUMMYFUNCTION("""COMPUTED_VALUE"""),"Гибкий переход ГПД-200 белый")</f>
        <v>Гибкий переход ГПД-200 белый</v>
      </c>
      <c r="B554"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200*±5мм.")</f>
        <v>Переход ГПД конструктивно состоит из двух наконечников, соединенных между собой металлорукавом (гибким переходом) 
IP40, Металлорукав РЗЦ Ø6мм, длина 200*±5мм.</v>
      </c>
      <c r="C554" s="9">
        <f ca="1">IFERROR(__xludf.DUMMYFUNCTION("""COMPUTED_VALUE"""),78.65)</f>
        <v>78.650000000000006</v>
      </c>
      <c r="D554" s="6"/>
      <c r="E554" s="8"/>
    </row>
    <row r="555" spans="1:5" ht="76.5">
      <c r="A555" s="5" t="str">
        <f ca="1">IFERROR(__xludf.DUMMYFUNCTION("""COMPUTED_VALUE"""),"Гибкий переход ГПД-300 белый")</f>
        <v>Гибкий переход ГПД-300 белый</v>
      </c>
      <c r="B555"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300*±5мм.")</f>
        <v>Переход ГПД конструктивно состоит из двух наконечников, соединенных между собой металлорукавом (гибким переходом) 
IP40, Металлорукав РЗЦ Ø6мм, длина 300*±5мм.</v>
      </c>
      <c r="C555" s="9">
        <f ca="1">IFERROR(__xludf.DUMMYFUNCTION("""COMPUTED_VALUE"""),83.974)</f>
        <v>83.974000000000004</v>
      </c>
      <c r="D555" s="6"/>
      <c r="E555" s="8"/>
    </row>
    <row r="556" spans="1:5" ht="76.5">
      <c r="A556" s="5" t="str">
        <f ca="1">IFERROR(__xludf.DUMMYFUNCTION("""COMPUTED_VALUE"""),"Гибкий переход ГПД-400 белый")</f>
        <v>Гибкий переход ГПД-400 белый</v>
      </c>
      <c r="B556"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400*±5мм.")</f>
        <v>Переход ГПД конструктивно состоит из двух наконечников, соединенных между собой металлорукавом (гибким переходом) 
IP40, Металлорукав РЗЦ Ø6мм, длина 400*±5мм.</v>
      </c>
      <c r="C556" s="9">
        <f ca="1">IFERROR(__xludf.DUMMYFUNCTION("""COMPUTED_VALUE"""),91.96)</f>
        <v>91.96</v>
      </c>
      <c r="D556" s="6"/>
      <c r="E556" s="8"/>
    </row>
    <row r="557" spans="1:5" ht="76.5">
      <c r="A557" s="5" t="str">
        <f ca="1">IFERROR(__xludf.DUMMYFUNCTION("""COMPUTED_VALUE"""),"Гибкий переход ГПД-500 белый")</f>
        <v>Гибкий переход ГПД-500 белый</v>
      </c>
      <c r="B557"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500*±5мм.")</f>
        <v>Переход ГПД конструктивно состоит из двух наконечников, соединенных между собой металлорукавом (гибким переходом) 
IP40, Металлорукав РЗЦ Ø6мм, длина 500*±5мм.</v>
      </c>
      <c r="C557" s="9">
        <f ca="1">IFERROR(__xludf.DUMMYFUNCTION("""COMPUTED_VALUE"""),100.43)</f>
        <v>100.43</v>
      </c>
      <c r="D557" s="6"/>
      <c r="E557" s="8"/>
    </row>
    <row r="558" spans="1:5" ht="76.5">
      <c r="A558" s="5" t="str">
        <f ca="1">IFERROR(__xludf.DUMMYFUNCTION("""COMPUTED_VALUE"""),"Гибкий переход ГПД-200 белый, нержавеющая сталь")</f>
        <v>Гибкий переход ГПД-200 белый, нержавеющая сталь</v>
      </c>
      <c r="B558"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200*±5мм.")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200*±5мм.</v>
      </c>
      <c r="C558" s="9">
        <f ca="1">IFERROR(__xludf.DUMMYFUNCTION("""COMPUTED_VALUE"""),98.01)</f>
        <v>98.01</v>
      </c>
      <c r="D558" s="6"/>
      <c r="E558" s="8"/>
    </row>
    <row r="559" spans="1:5" ht="76.5">
      <c r="A559" s="5" t="str">
        <f ca="1">IFERROR(__xludf.DUMMYFUNCTION("""COMPUTED_VALUE"""),"Гибкий переход ГПД-300 белый, нержавеющая сталь")</f>
        <v>Гибкий переход ГПД-300 белый, нержавеющая сталь</v>
      </c>
      <c r="B559"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300*±5мм.")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300*±5мм.</v>
      </c>
      <c r="C559" s="9">
        <f ca="1">IFERROR(__xludf.DUMMYFUNCTION("""COMPUTED_VALUE"""),100.43)</f>
        <v>100.43</v>
      </c>
      <c r="D559" s="6"/>
      <c r="E559" s="8"/>
    </row>
    <row r="560" spans="1:5" ht="76.5">
      <c r="A560" s="5" t="str">
        <f ca="1">IFERROR(__xludf.DUMMYFUNCTION("""COMPUTED_VALUE"""),"Гибкий переход ГПД-400 белый, нержавеющая сталь")</f>
        <v>Гибкий переход ГПД-400 белый, нержавеющая сталь</v>
      </c>
      <c r="B560"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400*±5мм.")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400*±5мм.</v>
      </c>
      <c r="C560" s="9">
        <f ca="1">IFERROR(__xludf.DUMMYFUNCTION("""COMPUTED_VALUE"""),108.9)</f>
        <v>108.9</v>
      </c>
      <c r="D560" s="6"/>
      <c r="E560" s="8"/>
    </row>
    <row r="561" spans="1:5" ht="76.5">
      <c r="A561" s="5" t="str">
        <f ca="1">IFERROR(__xludf.DUMMYFUNCTION("""COMPUTED_VALUE"""),"Гибкий переход ГПД-500 белый, нержавеющая сталь")</f>
        <v>Гибкий переход ГПД-500 белый, нержавеющая сталь</v>
      </c>
      <c r="B561"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500*±5мм.")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500*±5мм.</v>
      </c>
      <c r="C561" s="9">
        <f ca="1">IFERROR(__xludf.DUMMYFUNCTION("""COMPUTED_VALUE"""),123.42)</f>
        <v>123.42</v>
      </c>
      <c r="D561" s="6"/>
      <c r="E561" s="8"/>
    </row>
    <row r="562" spans="1:5" ht="76.5">
      <c r="A562" s="5" t="str">
        <f ca="1">IFERROR(__xludf.DUMMYFUNCTION("""COMPUTED_VALUE"""),"Гибкий переход ГПД-200 черный")</f>
        <v>Гибкий переход ГПД-200 черный</v>
      </c>
      <c r="B562"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200*±5мм.")</f>
        <v>Переход ГПД конструктивно состоит из двух наконечников, соединенных между собой металлорукавом (гибким переходом) 
IP40, Металлорукав РЗЦ Ø6мм, длина 200*±5мм.</v>
      </c>
      <c r="C562" s="9">
        <f ca="1">IFERROR(__xludf.DUMMYFUNCTION("""COMPUTED_VALUE"""),98.01)</f>
        <v>98.01</v>
      </c>
      <c r="D562" s="6"/>
      <c r="E562" s="8"/>
    </row>
    <row r="563" spans="1:5" ht="76.5">
      <c r="A563" s="5" t="str">
        <f ca="1">IFERROR(__xludf.DUMMYFUNCTION("""COMPUTED_VALUE"""),"Гибкий переход ГПД-300 черный")</f>
        <v>Гибкий переход ГПД-300 черный</v>
      </c>
      <c r="B563"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300*±5мм.")</f>
        <v>Переход ГПД конструктивно состоит из двух наконечников, соединенных между собой металлорукавом (гибким переходом) 
IP40, Металлорукав РЗЦ Ø6мм, длина 300*±5мм.</v>
      </c>
      <c r="C563" s="9">
        <f ca="1">IFERROR(__xludf.DUMMYFUNCTION("""COMPUTED_VALUE"""),100.43)</f>
        <v>100.43</v>
      </c>
      <c r="D563" s="6"/>
      <c r="E563" s="8"/>
    </row>
    <row r="564" spans="1:5" ht="76.5">
      <c r="A564" s="5" t="str">
        <f ca="1">IFERROR(__xludf.DUMMYFUNCTION("""COMPUTED_VALUE"""),"Гибкий переход ГПД-400 черный")</f>
        <v>Гибкий переход ГПД-400 черный</v>
      </c>
      <c r="B564"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400*±5мм.")</f>
        <v>Переход ГПД конструктивно состоит из двух наконечников, соединенных между собой металлорукавом (гибким переходом) 
IP40, Металлорукав РЗЦ Ø6мм, длина 400*±5мм.</v>
      </c>
      <c r="C564" s="9">
        <f ca="1">IFERROR(__xludf.DUMMYFUNCTION("""COMPUTED_VALUE"""),108.9)</f>
        <v>108.9</v>
      </c>
      <c r="D564" s="6"/>
      <c r="E564" s="8"/>
    </row>
    <row r="565" spans="1:5" ht="76.5">
      <c r="A565" s="5" t="str">
        <f ca="1">IFERROR(__xludf.DUMMYFUNCTION("""COMPUTED_VALUE"""),"Гибкий переход ГПД-500 черный")</f>
        <v>Гибкий переход ГПД-500 черный</v>
      </c>
      <c r="B565"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500*±5мм.")</f>
        <v>Переход ГПД конструктивно состоит из двух наконечников, соединенных между собой металлорукавом (гибким переходом) 
IP40, Металлорукав РЗЦ Ø6мм, длина 500*±5мм.</v>
      </c>
      <c r="C565" s="9">
        <f ca="1">IFERROR(__xludf.DUMMYFUNCTION("""COMPUTED_VALUE"""),123.42)</f>
        <v>123.42</v>
      </c>
      <c r="D565" s="6"/>
      <c r="E565" s="8"/>
    </row>
    <row r="566" spans="1:5" ht="76.5">
      <c r="A566" s="5" t="str">
        <f ca="1">IFERROR(__xludf.DUMMYFUNCTION("""COMPUTED_VALUE"""),"Выносной светодиод ВС")</f>
        <v>Выносной светодиод ВС</v>
      </c>
      <c r="B566" s="6" t="str">
        <f ca="1">IFERROR(__xludf.DUMMYFUNCTION("""COMPUTED_VALUE"""),"предназначен для круглосуточной работы и контроля наличия и определения полярности в питающих цепях. Напряжение в контролируемой цепи от 10 до 25 В или от 25 до 40 В, вывод 120мм, IP65")</f>
        <v>предназначен для круглосуточной работы и контроля наличия и определения полярности в питающих цепях. Напряжение в контролируемой цепи от 10 до 25 В или от 25 до 40 В, вывод 120мм, IP65</v>
      </c>
      <c r="C566" s="9">
        <f ca="1">IFERROR(__xludf.DUMMYFUNCTION("""COMPUTED_VALUE"""),60.907)</f>
        <v>60.906999999999996</v>
      </c>
      <c r="D566" s="6"/>
      <c r="E566" s="8"/>
    </row>
    <row r="567" spans="1:5" ht="140.25">
      <c r="A567" s="5" t="str">
        <f ca="1">IFERROR(__xludf.DUMMYFUNCTION("""COMPUTED_VALUE"""),"ИВС-3 (плата без корпуса) НЗ")</f>
        <v>ИВС-3 (плата без корпуса) НЗ</v>
      </c>
      <c r="B567" s="6" t="str">
        <f ca="1">IFERROR(__xludf.DUMMYFUNCTION("""COMPUTED_VALUE"""),"предназначен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сигнализа"&amp;"ции от 9 до 30 вольт с величиной тока короткого замыкания не более 20 мА. IP41")</f>
        <v>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сигнализации от 9 до 30 вольт с величиной тока короткого замыкания не более 20 мА. IP41</v>
      </c>
      <c r="C567" s="9">
        <f ca="1">IFERROR(__xludf.DUMMYFUNCTION("""COMPUTED_VALUE"""),155.727)</f>
        <v>155.727</v>
      </c>
      <c r="D567" s="6"/>
      <c r="E567" s="8"/>
    </row>
    <row r="568" spans="1:5" ht="140.25">
      <c r="A568" s="5" t="str">
        <f ca="1">IFERROR(__xludf.DUMMYFUNCTION("""COMPUTED_VALUE"""),"ИВС-3 Индикатор выносной светодиодный (НЗ)")</f>
        <v>ИВС-3 Индикатор выносной светодиодный (НЗ)</v>
      </c>
      <c r="B568" s="6" t="str">
        <f ca="1">IFERROR(__xludf.DUMMYFUNCTION("""COMPUTED_VALUE"""),"предназначен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сигнализа"&amp;"ции от 9 до 30 вольт с величиной тока короткого замыкания не более 20 мА. IP41")</f>
        <v>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сигнализации от 9 до 30 вольт с величиной тока короткого замыкания не более 20 мА. IP41</v>
      </c>
      <c r="C568" s="9">
        <f ca="1">IFERROR(__xludf.DUMMYFUNCTION("""COMPUTED_VALUE"""),170.533)</f>
        <v>170.53299999999999</v>
      </c>
      <c r="D568" s="6"/>
      <c r="E568" s="8"/>
    </row>
    <row r="569" spans="1:5" ht="12.75">
      <c r="A569" s="5" t="str">
        <f ca="1">IFERROR(__xludf.DUMMYFUNCTION("""COMPUTED_VALUE"""),"ИП 114-50-50°С• НЗ (без светод)")</f>
        <v>ИП 114-50-50°С• НЗ (без светод)</v>
      </c>
      <c r="B569" s="6" t="str">
        <f ca="1">IFERROR(__xludf.DUMMYFUNCTION("""COMPUTED_VALUE"""),"46-52°С. Контакты норм.замкн.")</f>
        <v>46-52°С. Контакты норм.замкн.</v>
      </c>
      <c r="C569" s="9">
        <f ca="1">IFERROR(__xludf.DUMMYFUNCTION("""COMPUTED_VALUE"""),177.6852)</f>
        <v>177.68520000000001</v>
      </c>
      <c r="D569" s="6"/>
      <c r="E569" s="8"/>
    </row>
    <row r="570" spans="1:5" ht="12.75">
      <c r="A570" s="5" t="str">
        <f ca="1">IFERROR(__xludf.DUMMYFUNCTION("""COMPUTED_VALUE"""),"ИП 114-50-50°С•• НР (без светод)")</f>
        <v>ИП 114-50-50°С•• НР (без светод)</v>
      </c>
      <c r="B570" s="6" t="str">
        <f ca="1">IFERROR(__xludf.DUMMYFUNCTION("""COMPUTED_VALUE"""),"46-52°С. Контакты норм.разомкн.")</f>
        <v>46-52°С. Контакты норм.разомкн.</v>
      </c>
      <c r="C570" s="9">
        <f ca="1">IFERROR(__xludf.DUMMYFUNCTION("""COMPUTED_VALUE"""),249.21435)</f>
        <v>249.21435</v>
      </c>
      <c r="D570" s="6"/>
      <c r="E570" s="8"/>
    </row>
    <row r="571" spans="1:5" ht="12.75">
      <c r="A571" s="5" t="str">
        <f ca="1">IFERROR(__xludf.DUMMYFUNCTION("""COMPUTED_VALUE"""),"ИП 114-50-А1• НЗ (без светод)")</f>
        <v>ИП 114-50-А1• НЗ (без светод)</v>
      </c>
      <c r="B571" s="6" t="str">
        <f ca="1">IFERROR(__xludf.DUMMYFUNCTION("""COMPUTED_VALUE"""),"54-65°С. Контакты норм.замкн.")</f>
        <v>54-65°С. Контакты норм.замкн.</v>
      </c>
      <c r="C571" s="9">
        <f ca="1">IFERROR(__xludf.DUMMYFUNCTION("""COMPUTED_VALUE"""),138.6)</f>
        <v>138.6</v>
      </c>
      <c r="D571" s="6"/>
      <c r="E571" s="8"/>
    </row>
    <row r="572" spans="1:5" ht="12.75">
      <c r="A572" s="5" t="str">
        <f ca="1">IFERROR(__xludf.DUMMYFUNCTION("""COMPUTED_VALUE"""),"ИП 114-50-А1•• НР (без светод)")</f>
        <v>ИП 114-50-А1•• НР (без светод)</v>
      </c>
      <c r="B572" s="6" t="str">
        <f ca="1">IFERROR(__xludf.DUMMYFUNCTION("""COMPUTED_VALUE"""),"54-65°С. Контакты норм.разомкн.")</f>
        <v>54-65°С. Контакты норм.разомкн.</v>
      </c>
      <c r="C572" s="9">
        <f ca="1">IFERROR(__xludf.DUMMYFUNCTION("""COMPUTED_VALUE"""),189.2583)</f>
        <v>189.25829999999999</v>
      </c>
      <c r="D572" s="6"/>
      <c r="E572" s="8"/>
    </row>
    <row r="573" spans="1:5" ht="12.75">
      <c r="A573" s="5" t="str">
        <f ca="1">IFERROR(__xludf.DUMMYFUNCTION("""COMPUTED_VALUE"""),"ИП 114-50-А2• НЗ (без светод)")</f>
        <v>ИП 114-50-А2• НЗ (без светод)</v>
      </c>
      <c r="B573" s="6" t="str">
        <f ca="1">IFERROR(__xludf.DUMMYFUNCTION("""COMPUTED_VALUE"""),"54-70°С. Контакты норм.замкн.")</f>
        <v>54-70°С. Контакты норм.замкн.</v>
      </c>
      <c r="C573" s="9">
        <f ca="1">IFERROR(__xludf.DUMMYFUNCTION("""COMPUTED_VALUE"""),138.6)</f>
        <v>138.6</v>
      </c>
      <c r="D573" s="6"/>
      <c r="E573" s="8"/>
    </row>
    <row r="574" spans="1:5" ht="12.75">
      <c r="A574" s="5" t="str">
        <f ca="1">IFERROR(__xludf.DUMMYFUNCTION("""COMPUTED_VALUE"""),"ИП 114-50-А2•• НР (без светод)")</f>
        <v>ИП 114-50-А2•• НР (без светод)</v>
      </c>
      <c r="B574" s="6" t="str">
        <f ca="1">IFERROR(__xludf.DUMMYFUNCTION("""COMPUTED_VALUE"""),"54-70°С. Контакты норм.разомкн.")</f>
        <v>54-70°С. Контакты норм.разомкн.</v>
      </c>
      <c r="C574" s="9">
        <f ca="1">IFERROR(__xludf.DUMMYFUNCTION("""COMPUTED_VALUE"""),189.2583)</f>
        <v>189.25829999999999</v>
      </c>
      <c r="D574" s="6"/>
      <c r="E574" s="8"/>
    </row>
    <row r="575" spans="1:5" ht="12.75">
      <c r="A575" s="5" t="str">
        <f ca="1">IFERROR(__xludf.DUMMYFUNCTION("""COMPUTED_VALUE"""),"ИП 114-50-А3• НЗ (без светод)")</f>
        <v>ИП 114-50-А3• НЗ (без светод)</v>
      </c>
      <c r="B575" s="6" t="str">
        <f ca="1">IFERROR(__xludf.DUMMYFUNCTION("""COMPUTED_VALUE"""),"64-76°С. Контакты норм.замкн.")</f>
        <v>64-76°С. Контакты норм.замкн.</v>
      </c>
      <c r="C575" s="9">
        <f ca="1">IFERROR(__xludf.DUMMYFUNCTION("""COMPUTED_VALUE"""),107.184)</f>
        <v>107.184</v>
      </c>
      <c r="D575" s="6"/>
      <c r="E575" s="8"/>
    </row>
    <row r="576" spans="1:5" ht="12.75">
      <c r="A576" s="5" t="str">
        <f ca="1">IFERROR(__xludf.DUMMYFUNCTION("""COMPUTED_VALUE"""),"ИП 114-50-А3•• НР (без светод)")</f>
        <v>ИП 114-50-А3•• НР (без светод)</v>
      </c>
      <c r="B576" s="6" t="str">
        <f ca="1">IFERROR(__xludf.DUMMYFUNCTION("""COMPUTED_VALUE"""),"64-76°С. Контакты норм.разомкн.")</f>
        <v>64-76°С. Контакты норм.разомкн.</v>
      </c>
      <c r="C576" s="9">
        <f ca="1">IFERROR(__xludf.DUMMYFUNCTION("""COMPUTED_VALUE"""),136.29)</f>
        <v>136.29</v>
      </c>
      <c r="D576" s="6"/>
      <c r="E576" s="8"/>
    </row>
    <row r="577" spans="1:5" ht="12.75">
      <c r="A577" s="5" t="str">
        <f ca="1">IFERROR(__xludf.DUMMYFUNCTION("""COMPUTED_VALUE"""),"ИП 114-50-В• НЗ (без светод)")</f>
        <v>ИП 114-50-В• НЗ (без светод)</v>
      </c>
      <c r="B577" s="6" t="str">
        <f ca="1">IFERROR(__xludf.DUMMYFUNCTION("""COMPUTED_VALUE"""),"69-85°С. Контакты норм.замкн.")</f>
        <v>69-85°С. Контакты норм.замкн.</v>
      </c>
      <c r="C577" s="9">
        <f ca="1">IFERROR(__xludf.DUMMYFUNCTION("""COMPUTED_VALUE"""),161.7)</f>
        <v>161.69999999999999</v>
      </c>
      <c r="D577" s="6"/>
      <c r="E577" s="8"/>
    </row>
    <row r="578" spans="1:5" ht="12.75">
      <c r="A578" s="5" t="str">
        <f ca="1">IFERROR(__xludf.DUMMYFUNCTION("""COMPUTED_VALUE"""),"ИП 114-50-В•• НР (без светод)")</f>
        <v>ИП 114-50-В•• НР (без светод)</v>
      </c>
      <c r="B578" s="6" t="str">
        <f ca="1">IFERROR(__xludf.DUMMYFUNCTION("""COMPUTED_VALUE"""),"69-85°С. Контакты норм.разомкн.")</f>
        <v>69-85°С. Контакты норм.разомкн.</v>
      </c>
      <c r="C578" s="9">
        <f ca="1">IFERROR(__xludf.DUMMYFUNCTION("""COMPUTED_VALUE"""),189.2583)</f>
        <v>189.25829999999999</v>
      </c>
      <c r="D578" s="6"/>
      <c r="E578" s="8"/>
    </row>
    <row r="579" spans="1:5" ht="12.75">
      <c r="A579" s="5" t="str">
        <f ca="1">IFERROR(__xludf.DUMMYFUNCTION("""COMPUTED_VALUE"""),"ИП 114-50-С• НЗ (без светод)")</f>
        <v>ИП 114-50-С• НЗ (без светод)</v>
      </c>
      <c r="B579" s="6" t="str">
        <f ca="1">IFERROR(__xludf.DUMMYFUNCTION("""COMPUTED_VALUE"""),"84-100°С. Контакты норм.замкн.")</f>
        <v>84-100°С. Контакты норм.замкн.</v>
      </c>
      <c r="C579" s="9">
        <f ca="1">IFERROR(__xludf.DUMMYFUNCTION("""COMPUTED_VALUE"""),401.709)</f>
        <v>401.709</v>
      </c>
      <c r="D579" s="6"/>
      <c r="E579" s="8"/>
    </row>
    <row r="580" spans="1:5" ht="12.75">
      <c r="A580" s="5" t="str">
        <f ca="1">IFERROR(__xludf.DUMMYFUNCTION("""COMPUTED_VALUE"""),"ИП 114-50-С•• НР (без светод)")</f>
        <v>ИП 114-50-С•• НР (без светод)</v>
      </c>
      <c r="B580" s="6" t="str">
        <f ca="1">IFERROR(__xludf.DUMMYFUNCTION("""COMPUTED_VALUE"""),"84-100°С. Контакты норм.разомкн.")</f>
        <v>84-100°С. Контакты норм.разомкн.</v>
      </c>
      <c r="C580" s="9">
        <f ca="1">IFERROR(__xludf.DUMMYFUNCTION("""COMPUTED_VALUE"""),444.675)</f>
        <v>444.67500000000001</v>
      </c>
      <c r="D580" s="6"/>
      <c r="E580" s="8"/>
    </row>
    <row r="581" spans="1:5" ht="12.75">
      <c r="A581" s="5" t="str">
        <f ca="1">IFERROR(__xludf.DUMMYFUNCTION("""COMPUTED_VALUE"""),"ИП 114-50-D• НЗ (без светод)")</f>
        <v>ИП 114-50-D• НЗ (без светод)</v>
      </c>
      <c r="B581" s="6" t="str">
        <f ca="1">IFERROR(__xludf.DUMMYFUNCTION("""COMPUTED_VALUE"""),"99-115°С. Контакты норм.замкн.")</f>
        <v>99-115°С. Контакты норм.замкн.</v>
      </c>
      <c r="C581" s="9">
        <f ca="1">IFERROR(__xludf.DUMMYFUNCTION("""COMPUTED_VALUE"""),401.7321)</f>
        <v>401.7321</v>
      </c>
      <c r="D581" s="6"/>
      <c r="E581" s="8"/>
    </row>
    <row r="582" spans="1:5" ht="12.75">
      <c r="A582" s="5" t="str">
        <f ca="1">IFERROR(__xludf.DUMMYFUNCTION("""COMPUTED_VALUE"""),"ИП 114-50-D•• НР (без светод)")</f>
        <v>ИП 114-50-D•• НР (без светод)</v>
      </c>
      <c r="B582" s="6" t="str">
        <f ca="1">IFERROR(__xludf.DUMMYFUNCTION("""COMPUTED_VALUE"""),"99-115°С. Контакты норм.разомкн.")</f>
        <v>99-115°С. Контакты норм.разомкн.</v>
      </c>
      <c r="C582" s="9">
        <f ca="1">IFERROR(__xludf.DUMMYFUNCTION("""COMPUTED_VALUE"""),444.675)</f>
        <v>444.67500000000001</v>
      </c>
      <c r="D582" s="6"/>
      <c r="E582" s="8"/>
    </row>
    <row r="583" spans="1:5" ht="12.75">
      <c r="A583" s="5" t="str">
        <f ca="1">IFERROR(__xludf.DUMMYFUNCTION("""COMPUTED_VALUE"""),"ИП 114-50-E• НЗ (без светод)")</f>
        <v>ИП 114-50-E• НЗ (без светод)</v>
      </c>
      <c r="B583" s="6" t="str">
        <f ca="1">IFERROR(__xludf.DUMMYFUNCTION("""COMPUTED_VALUE"""),"114-130°С. Контакты норм.замкн.")</f>
        <v>114-130°С. Контакты норм.замкн.</v>
      </c>
      <c r="C583" s="9">
        <f ca="1">IFERROR(__xludf.DUMMYFUNCTION("""COMPUTED_VALUE"""),653.499)</f>
        <v>653.49900000000002</v>
      </c>
      <c r="D583" s="6"/>
      <c r="E583" s="8"/>
    </row>
    <row r="584" spans="1:5" ht="12.75">
      <c r="A584" s="5" t="str">
        <f ca="1">IFERROR(__xludf.DUMMYFUNCTION("""COMPUTED_VALUE"""),"ИП 114-50-E•• НР (без светод)")</f>
        <v>ИП 114-50-E•• НР (без светод)</v>
      </c>
      <c r="B584" s="6" t="str">
        <f ca="1">IFERROR(__xludf.DUMMYFUNCTION("""COMPUTED_VALUE"""),"114-130°С. Контакты норм.разомкн.")</f>
        <v>114-130°С. Контакты норм.разомкн.</v>
      </c>
      <c r="C584" s="9">
        <f ca="1">IFERROR(__xludf.DUMMYFUNCTION("""COMPUTED_VALUE"""),693.462)</f>
        <v>693.46199999999999</v>
      </c>
      <c r="D584" s="6"/>
      <c r="E584" s="8"/>
    </row>
    <row r="585" spans="1:5" ht="12.75">
      <c r="A585" s="5" t="str">
        <f ca="1">IFERROR(__xludf.DUMMYFUNCTION("""COMPUTED_VALUE"""),"ИП 114-50-F• НЗ (без светод)")</f>
        <v>ИП 114-50-F• НЗ (без светод)</v>
      </c>
      <c r="B585" s="6" t="str">
        <f ca="1">IFERROR(__xludf.DUMMYFUNCTION("""COMPUTED_VALUE"""),"129-145°С. Контакты норм.замкн.")</f>
        <v>129-145°С. Контакты норм.замкн.</v>
      </c>
      <c r="C585" s="9">
        <f ca="1">IFERROR(__xludf.DUMMYFUNCTION("""COMPUTED_VALUE"""),762.3)</f>
        <v>762.3</v>
      </c>
      <c r="D585" s="6"/>
      <c r="E585" s="8"/>
    </row>
    <row r="586" spans="1:5" ht="12.75">
      <c r="A586" s="5" t="str">
        <f ca="1">IFERROR(__xludf.DUMMYFUNCTION("""COMPUTED_VALUE"""),"ИП 114-50-F•• НР (без светод)")</f>
        <v>ИП 114-50-F•• НР (без светод)</v>
      </c>
      <c r="B586" s="6" t="str">
        <f ca="1">IFERROR(__xludf.DUMMYFUNCTION("""COMPUTED_VALUE"""),"129-145°С. Контакты норм.разомкн.")</f>
        <v>129-145°С. Контакты норм.разомкн.</v>
      </c>
      <c r="C586" s="9">
        <f ca="1">IFERROR(__xludf.DUMMYFUNCTION("""COMPUTED_VALUE"""),789.40785)</f>
        <v>789.40785000000005</v>
      </c>
      <c r="D586" s="6"/>
      <c r="E586" s="8"/>
    </row>
    <row r="587" spans="1:5" ht="12.75">
      <c r="A587" s="5" t="str">
        <f ca="1">IFERROR(__xludf.DUMMYFUNCTION("""COMPUTED_VALUE"""),"ИП 114-50-G• НЗ (без светод)")</f>
        <v>ИП 114-50-G• НЗ (без светод)</v>
      </c>
      <c r="B587" s="6" t="str">
        <f ca="1">IFERROR(__xludf.DUMMYFUNCTION("""COMPUTED_VALUE"""),"144-160°С. Контакты норм.замкн.")</f>
        <v>144-160°С. Контакты норм.замкн.</v>
      </c>
      <c r="C587" s="9">
        <f ca="1">IFERROR(__xludf.DUMMYFUNCTION("""COMPUTED_VALUE"""),717.4629)</f>
        <v>717.46289999999999</v>
      </c>
      <c r="D587" s="6"/>
      <c r="E587" s="8"/>
    </row>
    <row r="588" spans="1:5" ht="12.75">
      <c r="A588" s="5" t="str">
        <f ca="1">IFERROR(__xludf.DUMMYFUNCTION("""COMPUTED_VALUE"""),"ИП 114-50-G•• НР (без светод)")</f>
        <v>ИП 114-50-G•• НР (без светод)</v>
      </c>
      <c r="B588" s="6" t="str">
        <f ca="1">IFERROR(__xludf.DUMMYFUNCTION("""COMPUTED_VALUE"""),"144-160°С. Контакты норм.разомкн.")</f>
        <v>144-160°С. Контакты норм.разомкн.</v>
      </c>
      <c r="C588" s="9">
        <f ca="1">IFERROR(__xludf.DUMMYFUNCTION("""COMPUTED_VALUE"""),759.4125)</f>
        <v>759.41250000000002</v>
      </c>
      <c r="D588" s="6"/>
      <c r="E588" s="8"/>
    </row>
    <row r="589" spans="1:5" ht="12.75">
      <c r="A589" s="5" t="str">
        <f ca="1">IFERROR(__xludf.DUMMYFUNCTION("""COMPUTED_VALUE"""),"ИП 114-50-Н")</f>
        <v>ИП 114-50-Н</v>
      </c>
      <c r="B589" s="6" t="str">
        <f ca="1">IFERROR(__xludf.DUMMYFUNCTION("""COMPUTED_VALUE"""),"46-52°С, без индикации")</f>
        <v>46-52°С, без индикации</v>
      </c>
      <c r="C589" s="9">
        <f ca="1">IFERROR(__xludf.DUMMYFUNCTION("""COMPUTED_VALUE"""),178.5)</f>
        <v>178.5</v>
      </c>
      <c r="D589" s="6"/>
      <c r="E589" s="8"/>
    </row>
    <row r="590" spans="1:5" ht="25.5">
      <c r="A590" s="5" t="str">
        <f ca="1">IFERROR(__xludf.DUMMYFUNCTION("""COMPUTED_VALUE"""),"ИП 114-50-Н АЛАБАЙ")</f>
        <v>ИП 114-50-Н АЛАБАЙ</v>
      </c>
      <c r="B590" s="6" t="str">
        <f ca="1">IFERROR(__xludf.DUMMYFUNCTION("""COMPUTED_VALUE"""),"46-52°С, имеет выносное устройство индикации ИВС-3")</f>
        <v>46-52°С, имеет выносное устройство индикации ИВС-3</v>
      </c>
      <c r="C590" s="9">
        <f ca="1">IFERROR(__xludf.DUMMYFUNCTION("""COMPUTED_VALUE"""),336)</f>
        <v>336</v>
      </c>
      <c r="D590" s="6"/>
      <c r="E590" s="8"/>
    </row>
    <row r="591" spans="1:5" ht="12.75">
      <c r="A591" s="5" t="str">
        <f ca="1">IFERROR(__xludf.DUMMYFUNCTION("""COMPUTED_VALUE"""),"ИП 114-50-Н АЯКС")</f>
        <v>ИП 114-50-Н АЯКС</v>
      </c>
      <c r="B591" s="6" t="str">
        <f ca="1">IFERROR(__xludf.DUMMYFUNCTION("""COMPUTED_VALUE"""),"46-52°С, имеет встроенную индикацию")</f>
        <v>46-52°С, имеет встроенную индикацию</v>
      </c>
      <c r="C591" s="9">
        <f ca="1">IFERROR(__xludf.DUMMYFUNCTION("""COMPUTED_VALUE"""),357)</f>
        <v>357</v>
      </c>
      <c r="D591" s="6"/>
      <c r="E591" s="8"/>
    </row>
    <row r="592" spans="1:5" ht="12.75">
      <c r="A592" s="5" t="str">
        <f ca="1">IFERROR(__xludf.DUMMYFUNCTION("""COMPUTED_VALUE"""),"ИП 114-50-А1• НЗ 0ExiaIIС Т6...Т3 GaХ")</f>
        <v>ИП 114-50-А1• НЗ 0ExiaIIС Т6...Т3 GaХ</v>
      </c>
      <c r="B592" s="6" t="str">
        <f ca="1">IFERROR(__xludf.DUMMYFUNCTION("""COMPUTED_VALUE"""),"54-65°С. Контакты норм.замкн.")</f>
        <v>54-65°С. Контакты норм.замкн.</v>
      </c>
      <c r="C592" s="9">
        <f ca="1">IFERROR(__xludf.DUMMYFUNCTION("""COMPUTED_VALUE"""),498.6135)</f>
        <v>498.61349999999999</v>
      </c>
      <c r="D592" s="6"/>
      <c r="E592" s="8"/>
    </row>
    <row r="593" spans="1:5" ht="12.75">
      <c r="A593" s="5" t="str">
        <f ca="1">IFERROR(__xludf.DUMMYFUNCTION("""COMPUTED_VALUE"""),"ИП 114-50-А1•• НР 0ExiaIIС Т6...Т3 GaХ")</f>
        <v>ИП 114-50-А1•• НР 0ExiaIIС Т6...Т3 GaХ</v>
      </c>
      <c r="B593" s="6" t="str">
        <f ca="1">IFERROR(__xludf.DUMMYFUNCTION("""COMPUTED_VALUE"""),"54-65°С. Контакты норм.разомкн.")</f>
        <v>54-65°С. Контакты норм.разомкн.</v>
      </c>
      <c r="C593" s="9">
        <f ca="1">IFERROR(__xludf.DUMMYFUNCTION("""COMPUTED_VALUE"""),681.45)</f>
        <v>681.45</v>
      </c>
      <c r="D593" s="6"/>
      <c r="E593" s="8"/>
    </row>
    <row r="594" spans="1:5" ht="12.75">
      <c r="A594" s="5" t="str">
        <f ca="1">IFERROR(__xludf.DUMMYFUNCTION("""COMPUTED_VALUE"""),"ИП 114-50-А2• НЗ 0ExiaIIС Т6...Т3 GaХ")</f>
        <v>ИП 114-50-А2• НЗ 0ExiaIIС Т6...Т3 GaХ</v>
      </c>
      <c r="B594" s="6" t="str">
        <f ca="1">IFERROR(__xludf.DUMMYFUNCTION("""COMPUTED_VALUE"""),"54-70°С. Контакты норм.замкн.")</f>
        <v>54-70°С. Контакты норм.замкн.</v>
      </c>
      <c r="C594" s="9">
        <f ca="1">IFERROR(__xludf.DUMMYFUNCTION("""COMPUTED_VALUE"""),498.6135)</f>
        <v>498.61349999999999</v>
      </c>
      <c r="D594" s="6"/>
      <c r="E594" s="8"/>
    </row>
    <row r="595" spans="1:5" ht="12.75">
      <c r="A595" s="5" t="str">
        <f ca="1">IFERROR(__xludf.DUMMYFUNCTION("""COMPUTED_VALUE"""),"ИП 114-50-А2•• НР 0ExiaIIС Т6...Т3 GaХ")</f>
        <v>ИП 114-50-А2•• НР 0ExiaIIС Т6...Т3 GaХ</v>
      </c>
      <c r="B595" s="6" t="str">
        <f ca="1">IFERROR(__xludf.DUMMYFUNCTION("""COMPUTED_VALUE"""),"54-70°С. Контакты норм.разомкн.")</f>
        <v>54-70°С. Контакты норм.разомкн.</v>
      </c>
      <c r="C595" s="9">
        <f ca="1">IFERROR(__xludf.DUMMYFUNCTION("""COMPUTED_VALUE"""),681.45)</f>
        <v>681.45</v>
      </c>
      <c r="D595" s="6"/>
      <c r="E595" s="8"/>
    </row>
    <row r="596" spans="1:5" ht="12.75">
      <c r="A596" s="5" t="str">
        <f ca="1">IFERROR(__xludf.DUMMYFUNCTION("""COMPUTED_VALUE"""),"ИП 114-50-А3• НЗ 0ExiaIIС Т6...Т3 GaХ")</f>
        <v>ИП 114-50-А3• НЗ 0ExiaIIС Т6...Т3 GaХ</v>
      </c>
      <c r="B596" s="6" t="str">
        <f ca="1">IFERROR(__xludf.DUMMYFUNCTION("""COMPUTED_VALUE"""),"64-76°С. Контакты норм.замкн.")</f>
        <v>64-76°С. Контакты норм.замкн.</v>
      </c>
      <c r="C596" s="9">
        <f ca="1">IFERROR(__xludf.DUMMYFUNCTION("""COMPUTED_VALUE"""),394.74435)</f>
        <v>394.74435</v>
      </c>
      <c r="D596" s="6"/>
      <c r="E596" s="8"/>
    </row>
    <row r="597" spans="1:5" ht="12.75">
      <c r="A597" s="5" t="str">
        <f ca="1">IFERROR(__xludf.DUMMYFUNCTION("""COMPUTED_VALUE"""),"ИП 114-50-А3•• НР 0ExiaIIС Т6...Т3 GaХ")</f>
        <v>ИП 114-50-А3•• НР 0ExiaIIС Т6...Т3 GaХ</v>
      </c>
      <c r="B597" s="6" t="str">
        <f ca="1">IFERROR(__xludf.DUMMYFUNCTION("""COMPUTED_VALUE"""),"64-76°С. Контакты норм.разомкн.")</f>
        <v>64-76°С. Контакты норм.разомкн.</v>
      </c>
      <c r="C597" s="9">
        <f ca="1">IFERROR(__xludf.DUMMYFUNCTION("""COMPUTED_VALUE"""),490.182)</f>
        <v>490.18200000000002</v>
      </c>
      <c r="D597" s="6"/>
      <c r="E597" s="8"/>
    </row>
    <row r="598" spans="1:5" ht="12.75">
      <c r="A598" s="5" t="str">
        <f ca="1">IFERROR(__xludf.DUMMYFUNCTION("""COMPUTED_VALUE"""),"ИП 114-50-В• НЗ 0ExiaIIС Т6...Т3 GaХ")</f>
        <v>ИП 114-50-В• НЗ 0ExiaIIС Т6...Т3 GaХ</v>
      </c>
      <c r="B598" s="6" t="str">
        <f ca="1">IFERROR(__xludf.DUMMYFUNCTION("""COMPUTED_VALUE"""),"69-85°С. Контакты норм.замкн.")</f>
        <v>69-85°С. Контакты норм.замкн.</v>
      </c>
      <c r="C598" s="9">
        <f ca="1">IFERROR(__xludf.DUMMYFUNCTION("""COMPUTED_VALUE"""),581.7966)</f>
        <v>581.79660000000001</v>
      </c>
      <c r="D598" s="6"/>
      <c r="E598" s="8"/>
    </row>
    <row r="599" spans="1:5" ht="12.75">
      <c r="A599" s="5" t="str">
        <f ca="1">IFERROR(__xludf.DUMMYFUNCTION("""COMPUTED_VALUE"""),"ИП 114-50-В•• НР 0ExiaIIС Т6...Т3 GaХ")</f>
        <v>ИП 114-50-В•• НР 0ExiaIIС Т6...Т3 GaХ</v>
      </c>
      <c r="B599" s="6" t="str">
        <f ca="1">IFERROR(__xludf.DUMMYFUNCTION("""COMPUTED_VALUE"""),"69-85°С. Контакты норм.разомкн.")</f>
        <v>69-85°С. Контакты норм.разомкн.</v>
      </c>
      <c r="C599" s="9">
        <f ca="1">IFERROR(__xludf.DUMMYFUNCTION("""COMPUTED_VALUE"""),681.45)</f>
        <v>681.45</v>
      </c>
      <c r="D599" s="6"/>
      <c r="E599" s="8"/>
    </row>
    <row r="600" spans="1:5" ht="12.75">
      <c r="A600" s="5" t="str">
        <f ca="1">IFERROR(__xludf.DUMMYFUNCTION("""COMPUTED_VALUE"""),"ИП 114-50-С• НЗ 0ExiaIIС Т6...Т3 GaХ")</f>
        <v>ИП 114-50-С• НЗ 0ExiaIIС Т6...Т3 GaХ</v>
      </c>
      <c r="B600" s="6" t="str">
        <f ca="1">IFERROR(__xludf.DUMMYFUNCTION("""COMPUTED_VALUE"""),"84-100°С. Контакты норм.замкн.")</f>
        <v>84-100°С. Контакты норм.замкн.</v>
      </c>
      <c r="C600" s="9">
        <f ca="1">IFERROR(__xludf.DUMMYFUNCTION("""COMPUTED_VALUE"""),1446.06)</f>
        <v>1446.06</v>
      </c>
      <c r="D600" s="6"/>
      <c r="E600" s="8"/>
    </row>
    <row r="601" spans="1:5" ht="12.75">
      <c r="A601" s="5" t="str">
        <f ca="1">IFERROR(__xludf.DUMMYFUNCTION("""COMPUTED_VALUE"""),"ИП 114-50-С•• НР 0ExiaIIС Т6...Т3 GaХ")</f>
        <v>ИП 114-50-С•• НР 0ExiaIIС Т6...Т3 GaХ</v>
      </c>
      <c r="B601" s="6" t="str">
        <f ca="1">IFERROR(__xludf.DUMMYFUNCTION("""COMPUTED_VALUE"""),"84-100°С. Контакты норм.разомкн.")</f>
        <v>84-100°С. Контакты норм.разомкн.</v>
      </c>
      <c r="C601" s="9">
        <f ca="1">IFERROR(__xludf.DUMMYFUNCTION("""COMPUTED_VALUE"""),1594.824)</f>
        <v>1594.8240000000001</v>
      </c>
      <c r="D601" s="6"/>
      <c r="E601" s="8"/>
    </row>
    <row r="602" spans="1:5" ht="12.75">
      <c r="A602" s="5" t="str">
        <f ca="1">IFERROR(__xludf.DUMMYFUNCTION("""COMPUTED_VALUE"""),"ИП 114-50-D• НЗ 0ExiaIIС Т6...Т3 GaХ")</f>
        <v>ИП 114-50-D• НЗ 0ExiaIIС Т6...Т3 GaХ</v>
      </c>
      <c r="B602" s="6" t="str">
        <f ca="1">IFERROR(__xludf.DUMMYFUNCTION("""COMPUTED_VALUE"""),"99-115°С. Контакты норм.замкн.")</f>
        <v>99-115°С. Контакты норм.замкн.</v>
      </c>
      <c r="C602" s="9">
        <f ca="1">IFERROR(__xludf.DUMMYFUNCTION("""COMPUTED_VALUE"""),1446.06)</f>
        <v>1446.06</v>
      </c>
      <c r="D602" s="6"/>
      <c r="E602" s="8"/>
    </row>
    <row r="603" spans="1:5" ht="12.75">
      <c r="A603" s="5" t="str">
        <f ca="1">IFERROR(__xludf.DUMMYFUNCTION("""COMPUTED_VALUE"""),"ИП 114-50-D•• НР 0ExiaIIС Т6...Т3 GaХ")</f>
        <v>ИП 114-50-D•• НР 0ExiaIIС Т6...Т3 GaХ</v>
      </c>
      <c r="B603" s="6" t="str">
        <f ca="1">IFERROR(__xludf.DUMMYFUNCTION("""COMPUTED_VALUE"""),"99-115°С. Контакты норм.разомкн.")</f>
        <v>99-115°С. Контакты норм.разомкн.</v>
      </c>
      <c r="C603" s="9">
        <f ca="1">IFERROR(__xludf.DUMMYFUNCTION("""COMPUTED_VALUE"""),1594.824)</f>
        <v>1594.8240000000001</v>
      </c>
      <c r="D603" s="6"/>
      <c r="E603" s="8"/>
    </row>
    <row r="604" spans="1:5" ht="12.75">
      <c r="A604" s="5" t="str">
        <f ca="1">IFERROR(__xludf.DUMMYFUNCTION("""COMPUTED_VALUE"""),"ИП 114-50-E• НЗ 0ExiaIIС Т6...Т3 GaХ")</f>
        <v>ИП 114-50-E• НЗ 0ExiaIIС Т6...Т3 GaХ</v>
      </c>
      <c r="B604" s="6" t="str">
        <f ca="1">IFERROR(__xludf.DUMMYFUNCTION("""COMPUTED_VALUE"""),"114-130°С. Контакты норм.замкн.")</f>
        <v>114-130°С. Контакты норм.замкн.</v>
      </c>
      <c r="C604" s="9">
        <f ca="1">IFERROR(__xludf.DUMMYFUNCTION("""COMPUTED_VALUE"""),2350.2402)</f>
        <v>2350.2402000000002</v>
      </c>
      <c r="D604" s="6"/>
      <c r="E604" s="8"/>
    </row>
    <row r="605" spans="1:5" ht="12.75">
      <c r="A605" s="5" t="str">
        <f ca="1">IFERROR(__xludf.DUMMYFUNCTION("""COMPUTED_VALUE"""),"ИП 114-50-E•• НР 0ExiaIIС Т6...Т3 GaХ")</f>
        <v>ИП 114-50-E•• НР 0ExiaIIС Т6...Т3 GaХ</v>
      </c>
      <c r="B605" s="6" t="str">
        <f ca="1">IFERROR(__xludf.DUMMYFUNCTION("""COMPUTED_VALUE"""),"114-130°С. Контакты норм.разомкн.")</f>
        <v>114-130°С. Контакты норм.разомкн.</v>
      </c>
      <c r="C605" s="9">
        <f ca="1">IFERROR(__xludf.DUMMYFUNCTION("""COMPUTED_VALUE"""),2494.107)</f>
        <v>2494.107</v>
      </c>
      <c r="D605" s="6"/>
      <c r="E605" s="8"/>
    </row>
    <row r="606" spans="1:5" ht="12.75">
      <c r="A606" s="5" t="str">
        <f ca="1">IFERROR(__xludf.DUMMYFUNCTION("""COMPUTED_VALUE"""),"ИП 114-50-F• НЗ 0ExiaIIС Т6...Т3 GaХ")</f>
        <v>ИП 114-50-F• НЗ 0ExiaIIС Т6...Т3 GaХ</v>
      </c>
      <c r="B606" s="6" t="str">
        <f ca="1">IFERROR(__xludf.DUMMYFUNCTION("""COMPUTED_VALUE"""),"129-145°С. Контакты норм.замкн.")</f>
        <v>129-145°С. Контакты норм.замкн.</v>
      </c>
      <c r="C606" s="9">
        <f ca="1">IFERROR(__xludf.DUMMYFUNCTION("""COMPUTED_VALUE"""),2742.35115)</f>
        <v>2742.35115</v>
      </c>
      <c r="D606" s="6"/>
      <c r="E606" s="8"/>
    </row>
    <row r="607" spans="1:5" ht="12.75">
      <c r="A607" s="5" t="str">
        <f ca="1">IFERROR(__xludf.DUMMYFUNCTION("""COMPUTED_VALUE"""),"ИП 114-50-F•• НР 0ExiaIIС Т6...Т3 GaХ")</f>
        <v>ИП 114-50-F•• НР 0ExiaIIС Т6...Т3 GaХ</v>
      </c>
      <c r="B607" s="6" t="str">
        <f ca="1">IFERROR(__xludf.DUMMYFUNCTION("""COMPUTED_VALUE"""),"129-145°С. Контакты норм.разомкн.")</f>
        <v>129-145°С. Контакты норм.разомкн.</v>
      </c>
      <c r="C607" s="9">
        <f ca="1">IFERROR(__xludf.DUMMYFUNCTION("""COMPUTED_VALUE"""),2841.3)</f>
        <v>2841.3</v>
      </c>
      <c r="D607" s="6"/>
      <c r="E607" s="8"/>
    </row>
    <row r="608" spans="1:5" ht="12.75">
      <c r="A608" s="5" t="str">
        <f ca="1">IFERROR(__xludf.DUMMYFUNCTION("""COMPUTED_VALUE"""),"ИП 114-50-G• НЗ 0ExiaIIС Т6...Т3 GaХ")</f>
        <v>ИП 114-50-G• НЗ 0ExiaIIС Т6...Т3 GaХ</v>
      </c>
      <c r="B608" s="6" t="str">
        <f ca="1">IFERROR(__xludf.DUMMYFUNCTION("""COMPUTED_VALUE"""),"144-160°С. Контакты норм.замкн.")</f>
        <v>144-160°С. Контакты норм.замкн.</v>
      </c>
      <c r="C608" s="9">
        <f ca="1">IFERROR(__xludf.DUMMYFUNCTION("""COMPUTED_VALUE"""),2582.84565)</f>
        <v>2582.8456500000002</v>
      </c>
      <c r="D608" s="6"/>
      <c r="E608" s="8"/>
    </row>
    <row r="609" spans="1:5" ht="12.75">
      <c r="A609" s="5" t="str">
        <f ca="1">IFERROR(__xludf.DUMMYFUNCTION("""COMPUTED_VALUE"""),"ИП 114-50-G•• НР 0ExiaIIС Т6...Т3 GaХ")</f>
        <v>ИП 114-50-G•• НР 0ExiaIIС Т6...Т3 GaХ</v>
      </c>
      <c r="B609" s="6" t="str">
        <f ca="1">IFERROR(__xludf.DUMMYFUNCTION("""COMPUTED_VALUE"""),"144-160°С. Контакты норм.разомкн.")</f>
        <v>144-160°С. Контакты норм.разомкн.</v>
      </c>
      <c r="C609" s="9">
        <f ca="1">IFERROR(__xludf.DUMMYFUNCTION("""COMPUTED_VALUE"""),2742.35115)</f>
        <v>2742.35115</v>
      </c>
      <c r="D609" s="6"/>
      <c r="E609" s="8"/>
    </row>
    <row r="610" spans="1:5" ht="25.5">
      <c r="A610" s="5" t="str">
        <f ca="1">IFERROR(__xludf.DUMMYFUNCTION("""COMPUTED_VALUE"""),"ИП103-55-А1 ПАШК.425212.129 ПС IP20")</f>
        <v>ИП103-55-А1 ПАШК.425212.129 ПС IP20</v>
      </c>
      <c r="B610" s="6" t="str">
        <f ca="1">IFERROR(__xludf.DUMMYFUNCTION("""COMPUTED_VALUE"""),"температура срабатывания от 54°С до 65°С")</f>
        <v>температура срабатывания от 54°С до 65°С</v>
      </c>
      <c r="C610" s="9">
        <f ca="1">IFERROR(__xludf.DUMMYFUNCTION("""COMPUTED_VALUE"""),334.95)</f>
        <v>334.95</v>
      </c>
      <c r="D610" s="6"/>
      <c r="E610" s="8"/>
    </row>
    <row r="611" spans="1:5" ht="25.5">
      <c r="A611" s="5" t="str">
        <f ca="1">IFERROR(__xludf.DUMMYFUNCTION("""COMPUTED_VALUE"""),"ИП103-55-А3 ПАШК.425212.129 ПС IP20")</f>
        <v>ИП103-55-А3 ПАШК.425212.129 ПС IP20</v>
      </c>
      <c r="B611" s="6" t="str">
        <f ca="1">IFERROR(__xludf.DUMMYFUNCTION("""COMPUTED_VALUE"""),"температура срабатывания от 64°С до 76°С")</f>
        <v>температура срабатывания от 64°С до 76°С</v>
      </c>
      <c r="C611" s="9">
        <f ca="1">IFERROR(__xludf.DUMMYFUNCTION("""COMPUTED_VALUE"""),334.95)</f>
        <v>334.95</v>
      </c>
      <c r="D611" s="6"/>
      <c r="E611" s="8"/>
    </row>
    <row r="612" spans="1:5" ht="25.5">
      <c r="A612" s="5" t="str">
        <f ca="1">IFERROR(__xludf.DUMMYFUNCTION("""COMPUTED_VALUE"""),"ИП103-55-В ПАШК.425212.129 ПС IP20")</f>
        <v>ИП103-55-В ПАШК.425212.129 ПС IP20</v>
      </c>
      <c r="B612" s="6" t="str">
        <f ca="1">IFERROR(__xludf.DUMMYFUNCTION("""COMPUTED_VALUE"""),"температура срабатывания от 69°С до 85°С")</f>
        <v>температура срабатывания от 69°С до 85°С</v>
      </c>
      <c r="C612" s="9">
        <f ca="1">IFERROR(__xludf.DUMMYFUNCTION("""COMPUTED_VALUE"""),334.95)</f>
        <v>334.95</v>
      </c>
      <c r="D612" s="6"/>
      <c r="E612" s="8"/>
    </row>
    <row r="613" spans="1:5" ht="25.5">
      <c r="A613" s="5" t="str">
        <f ca="1">IFERROR(__xludf.DUMMYFUNCTION("""COMPUTED_VALUE"""),"ИП103-55-С ПАШК.425212.129 ПС IP20")</f>
        <v>ИП103-55-С ПАШК.425212.129 ПС IP20</v>
      </c>
      <c r="B613" s="6" t="str">
        <f ca="1">IFERROR(__xludf.DUMMYFUNCTION("""COMPUTED_VALUE"""),"температура срабатывания от 84°С до 100°С")</f>
        <v>температура срабатывания от 84°С до 100°С</v>
      </c>
      <c r="C613" s="9">
        <f ca="1">IFERROR(__xludf.DUMMYFUNCTION("""COMPUTED_VALUE"""),334.95)</f>
        <v>334.95</v>
      </c>
      <c r="D613" s="6"/>
      <c r="E613" s="8"/>
    </row>
    <row r="614" spans="1:5" ht="76.5">
      <c r="A614" s="5" t="str">
        <f ca="1">IFERROR(__xludf.DUMMYFUNCTION("""COMPUTED_VALUE"""),"ИП 103-55-А1Ех 1Ex ib IIB T6 Gb ПАШК.425212.129 ПС")</f>
        <v>ИП 103-55-А1Ех 1Ex ib IIB T6 Gb ПАШК.425212.129 ПС</v>
      </c>
      <c r="B614" s="6" t="str">
        <f ca="1">IFERROR(__xludf.DUMMYFUNCTION("""COMPUTED_VALUE"""),"температура срабатывания от 54°С до 65°С, IP 20 Питание по двухпроводной электрической соединительной линии наличие оптического индикатора (встроенная электронная плата индикации)")</f>
        <v>температура срабатывания от 54°С до 65°С, IP 20 Питание по двухпроводной электрической соединительной линии наличие оптического индикатора (встроенная электронная плата индикации)</v>
      </c>
      <c r="C614" s="9">
        <f ca="1">IFERROR(__xludf.DUMMYFUNCTION("""COMPUTED_VALUE"""),796.6035)</f>
        <v>796.60350000000005</v>
      </c>
      <c r="D614" s="6"/>
      <c r="E614" s="8"/>
    </row>
    <row r="615" spans="1:5" ht="76.5">
      <c r="A615" s="5" t="str">
        <f ca="1">IFERROR(__xludf.DUMMYFUNCTION("""COMPUTED_VALUE"""),"ИП 103-55-А3Ех 1Ex ib IIB T6 Gb ПАШК.425212.129 ПС")</f>
        <v>ИП 103-55-А3Ех 1Ex ib IIB T6 Gb ПАШК.425212.129 ПС</v>
      </c>
      <c r="B615" s="6" t="str">
        <f ca="1">IFERROR(__xludf.DUMMYFUNCTION("""COMPUTED_VALUE"""),"температура срабатывания от 64°С до 76°С, IP 20 Питание по двухпроводной электрической соединительной линии наличие оптического индикатора (встроенная электронная плата индикации)")</f>
        <v>температура срабатывания от 64°С до 76°С, IP 20 Питание по двухпроводной электрической соединительной линии наличие оптического индикатора (встроенная электронная плата индикации)</v>
      </c>
      <c r="C615" s="9">
        <f ca="1">IFERROR(__xludf.DUMMYFUNCTION("""COMPUTED_VALUE"""),796.6035)</f>
        <v>796.60350000000005</v>
      </c>
      <c r="D615" s="6"/>
      <c r="E615" s="8"/>
    </row>
    <row r="616" spans="1:5" ht="76.5">
      <c r="A616" s="5" t="str">
        <f ca="1">IFERROR(__xludf.DUMMYFUNCTION("""COMPUTED_VALUE"""),"ИП 535/В ""СЕВЕР"" 0Ex iа IIC T6 Ga АТФЕ.425211.001 ТУ (Пластиковый ввод 6-12 мм)")</f>
        <v>ИП 535/В "СЕВЕР" 0Ex iа IIC T6 Ga АТФЕ.425211.001 ТУ (Пластиковый ввод 6-12 мм)</v>
      </c>
      <c r="B61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v>
      </c>
      <c r="C616" s="9">
        <f ca="1">IFERROR(__xludf.DUMMYFUNCTION("""COMPUTED_VALUE"""),7349.54)</f>
        <v>7349.54</v>
      </c>
      <c r="D616" s="6"/>
      <c r="E616" s="8"/>
    </row>
    <row r="617" spans="1:5" ht="76.5">
      <c r="A617" s="5" t="str">
        <f ca="1">IFERROR(__xludf.DUMMYFUNCTION("""COMPUTED_VALUE"""),"ИП 535/В ""СЕВЕР"" 0Ex iа IIC T6 Ga АТФЕ.425211.001 ТУ (Пластиковый ввод 11-17 мм)")</f>
        <v>ИП 535/В "СЕВЕР" 0Ex iа IIC T6 Ga АТФЕ.425211.001 ТУ (Пластиковый ввод 11-17 мм)</v>
      </c>
      <c r="B61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v>
      </c>
      <c r="C617" s="9">
        <f ca="1">IFERROR(__xludf.DUMMYFUNCTION("""COMPUTED_VALUE"""),7686.525)</f>
        <v>7686.5249999999996</v>
      </c>
      <c r="D617" s="6"/>
      <c r="E617" s="8"/>
    </row>
    <row r="618" spans="1:5" ht="76.5">
      <c r="A618" s="5" t="str">
        <f ca="1">IFERROR(__xludf.DUMMYFUNCTION("""COMPUTED_VALUE"""),"ИП 535/В ""СЕВЕР"" 0Ex iа IIC T6 Ga АТФЕ.425211.001 ТУ (Пластиковый ввод 13-18 мм)")</f>
        <v>ИП 535/В "СЕВЕР" 0Ex iа IIC T6 Ga АТФЕ.425211.001 ТУ (Пластиковый ввод 13-18 мм)</v>
      </c>
      <c r="B61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v>
      </c>
      <c r="C618" s="9">
        <f ca="1">IFERROR(__xludf.DUMMYFUNCTION("""COMPUTED_VALUE"""),7862.217)</f>
        <v>7862.2169999999996</v>
      </c>
      <c r="D618" s="6"/>
      <c r="E618" s="8"/>
    </row>
    <row r="619" spans="1:5" ht="89.25">
      <c r="A619" s="5" t="str">
        <f ca="1">IFERROR(__xludf.DUMMYFUNCTION("""COMPUTED_VALUE"""),"ИП 535/В ""СЕВЕР"" 0Ex iа IIC T6 Ga АТФЕ.425211.001 ТУ (Ввод из нержавейки МКВМ М20К (открытая прокладка кабеля))")</f>
        <v>ИП 535/В "СЕВЕР" 0Ex iа IIC T6 Ga АТФЕ.425211.001 ТУ (Ввод из нержавейки МКВМ М20К (открытая прокладка кабеля))</v>
      </c>
      <c r="B61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v>
      </c>
      <c r="C619" s="11">
        <f ca="1">IFERROR(__xludf.DUMMYFUNCTION("""COMPUTED_VALUE"""),11275)</f>
        <v>11275</v>
      </c>
      <c r="D619" s="6"/>
      <c r="E619" s="8"/>
    </row>
    <row r="620" spans="1:5" ht="76.5">
      <c r="A620" s="5" t="str">
        <f ca="1">IFERROR(__xludf.DUMMYFUNCTION("""COMPUTED_VALUE"""),"ИП 535/В ""СЕВЕР"" 0Ex iа IIC T6 Ga АТФЕ.425211.001 ТУ (Ввод из нержавейки МКВМ М20Т1/2 (труба с резьбой G1/2)) ")</f>
        <v xml:space="preserve">ИП 535/В "СЕВЕР" 0Ex iа IIC T6 Ga АТФЕ.425211.001 ТУ (Ввод из нержавейки МКВМ М20Т1/2 (труба с резьбой G1/2)) </v>
      </c>
      <c r="B620"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v>
      </c>
      <c r="C620" s="11">
        <f ca="1">IFERROR(__xludf.DUMMYFUNCTION("""COMPUTED_VALUE"""),11275)</f>
        <v>11275</v>
      </c>
      <c r="D620" s="6"/>
      <c r="E620" s="8"/>
    </row>
    <row r="621" spans="1:5" ht="89.25">
      <c r="A621" s="5" t="str">
        <f ca="1">IFERROR(__xludf.DUMMYFUNCTION("""COMPUTED_VALUE"""),"ИП 535/В ""СЕВЕР"" 0Ex iа IIC T6 Ga АТФЕ.425211.001 ТУ (Ввод из нержавейки МКВМ М20Т3/4 (труба с резьбой G3/4))")</f>
        <v>ИП 535/В "СЕВЕР" 0Ex iа IIC T6 Ga АТФЕ.425211.001 ТУ (Ввод из нержавейки МКВМ М20Т3/4 (труба с резьбой G3/4))</v>
      </c>
      <c r="B621"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v>
      </c>
      <c r="C621" s="11">
        <f ca="1">IFERROR(__xludf.DUMMYFUNCTION("""COMPUTED_VALUE"""),11275)</f>
        <v>11275</v>
      </c>
      <c r="D621" s="6"/>
      <c r="E621" s="8"/>
    </row>
    <row r="622" spans="1:5" ht="89.25">
      <c r="A622" s="5" t="str">
        <f ca="1">IFERROR(__xludf.DUMMYFUNCTION("""COMPUTED_VALUE"""),"ИП 535/В ""СЕВЕР"" 0Ex iа IIC T6 Ga АТФЕ.425211.001 ТУ (Ввод из нержавейки МКВМ М20КМ10 (металлорукав РЗЦ 10мм))")</f>
        <v>ИП 535/В "СЕВЕР" 0Ex iа IIC T6 Ga АТФЕ.425211.001 ТУ (Ввод из нержавейки МКВМ М20КМ10 (металлорукав РЗЦ 10мм))</v>
      </c>
      <c r="B62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v>
      </c>
      <c r="C622" s="11">
        <f ca="1">IFERROR(__xludf.DUMMYFUNCTION("""COMPUTED_VALUE"""),11735)</f>
        <v>11735</v>
      </c>
      <c r="D622" s="6"/>
      <c r="E622" s="8"/>
    </row>
    <row r="623" spans="1:5" ht="89.25">
      <c r="A623" s="5" t="str">
        <f ca="1">IFERROR(__xludf.DUMMYFUNCTION("""COMPUTED_VALUE"""),"ИП 535/В ""СЕВЕР"" 0Ex iа IIC T6 Ga АТФЕ.425211.001 ТУ (Ввод из нержавейки МКВМ М20КМ12 (металлорукав РЗЦ 12мм))")</f>
        <v>ИП 535/В "СЕВЕР" 0Ex iа IIC T6 Ga АТФЕ.425211.001 ТУ (Ввод из нержавейки МКВМ М20КМ12 (металлорукав РЗЦ 12мм))</v>
      </c>
      <c r="B62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v>
      </c>
      <c r="C623" s="11">
        <f ca="1">IFERROR(__xludf.DUMMYFUNCTION("""COMPUTED_VALUE"""),11735)</f>
        <v>11735</v>
      </c>
      <c r="D623" s="6"/>
      <c r="E623" s="8"/>
    </row>
    <row r="624" spans="1:5" ht="102">
      <c r="A624" s="5" t="str">
        <f ca="1">IFERROR(__xludf.DUMMYFUNCTION("""COMPUTED_VALUE"""),"ИП 535/В ""СЕВЕР"" 0Ex iа IIC T6 Ga АТФЕ.425211.001 ТУ (Ввод из нержавейки МКВМ М20КМ15 (Металлорукав РЗЦ 15мм)/ МКВМ М20КМ18 (Металлорукав РЗЦ 18мм))")</f>
        <v>ИП 535/В "СЕВЕР" 0Ex iа IIC T6 Ga АТФЕ.425211.001 ТУ (Ввод из нержавейки МКВМ М20КМ15 (Металлорукав РЗЦ 15мм)/ МКВМ М20КМ18 (Металлорукав РЗЦ 18мм))</v>
      </c>
      <c r="B62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v>
      </c>
      <c r="C624" s="11">
        <f ca="1">IFERROR(__xludf.DUMMYFUNCTION("""COMPUTED_VALUE"""),12195)</f>
        <v>12195</v>
      </c>
      <c r="D624" s="6"/>
      <c r="E624" s="8"/>
    </row>
    <row r="625" spans="1:5" ht="76.5">
      <c r="A625" s="5" t="str">
        <f ca="1">IFERROR(__xludf.DUMMYFUNCTION("""COMPUTED_VALUE"""),"ИП 535/В ""СЕВЕР"" 0Ex iа IIC T6 Ga АТФЕ.425211.001 ТУ (Ввод из нержавейки МКВМ М20В (Бронированный кабель))")</f>
        <v>ИП 535/В "СЕВЕР" 0Ex iа IIC T6 Ga АТФЕ.425211.001 ТУ (Ввод из нержавейки МКВМ М20В (Бронированный кабель))</v>
      </c>
      <c r="B62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v>
      </c>
      <c r="C625" s="11">
        <f ca="1">IFERROR(__xludf.DUMMYFUNCTION("""COMPUTED_VALUE"""),12195)</f>
        <v>12195</v>
      </c>
      <c r="D625" s="6"/>
      <c r="E625" s="8"/>
    </row>
    <row r="626" spans="1:5" ht="89.25">
      <c r="A626" s="5" t="str">
        <f ca="1">IFERROR(__xludf.DUMMYFUNCTION("""COMPUTED_VALUE"""),"ИП 535/В ""СЕВЕР"" 0Ex iа IIC T6 Ga АТФЕ.425211.001 ТУ (Ввод из нержавейки МКВМ М20В2 (Бронированный кабель с двойным уплотнением))")</f>
        <v>ИП 535/В "СЕВЕР" 0Ex iа IIC T6 Ga АТФЕ.425211.001 ТУ (Ввод из нержавейки МКВМ М20В2 (Бронированный кабель с двойным уплотнением))</v>
      </c>
      <c r="B62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v>
      </c>
      <c r="C626" s="11">
        <f ca="1">IFERROR(__xludf.DUMMYFUNCTION("""COMPUTED_VALUE"""),12195)</f>
        <v>12195</v>
      </c>
      <c r="D626" s="6"/>
      <c r="E626" s="8"/>
    </row>
    <row r="627" spans="1:5" ht="89.25">
      <c r="A627" s="5" t="str">
        <f ca="1">IFERROR(__xludf.DUMMYFUNCTION("""COMPUTED_VALUE"""),"ИП 535/В ""СЕВЕР"" 0Ex iа IIC T6 Ga АТФЕ.425211.001 ТУ (Ввод из нержавейки МКВМ М25 (К, В, В2, T3/4, КМ8, КМ10, КМ12, КМ15, КМ18,КМ20)")</f>
        <v>ИП 535/В "СЕВЕР" 0Ex iа IIC T6 Ga АТФЕ.425211.001 ТУ (Ввод из нержавейки МКВМ М25 (К, В, В2, T3/4, КМ8, КМ10, КМ12, КМ15, КМ18,КМ20)</v>
      </c>
      <c r="B62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v>
      </c>
      <c r="C627" s="11">
        <f ca="1">IFERROR(__xludf.DUMMYFUNCTION("""COMPUTED_VALUE"""),24475)</f>
        <v>24475</v>
      </c>
      <c r="D627" s="6"/>
      <c r="E627" s="8"/>
    </row>
    <row r="628" spans="1:5" ht="76.5">
      <c r="A628" s="5" t="str">
        <f ca="1">IFERROR(__xludf.DUMMYFUNCTION("""COMPUTED_VALUE"""),"ИП535Ех ""СЕВЕР"" 6-12 мм 0Ex ia IIC T6 Ga ПАШК.425211.126")</f>
        <v>ИП535Ех "СЕВЕР" 6-12 мм 0Ex ia IIC T6 Ga ПАШК.425211.126</v>
      </c>
      <c r="B62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v>
      </c>
      <c r="C628" s="9">
        <f ca="1">IFERROR(__xludf.DUMMYFUNCTION("""COMPUTED_VALUE"""),7349.54)</f>
        <v>7349.54</v>
      </c>
      <c r="D628" s="6"/>
      <c r="E628" s="8"/>
    </row>
    <row r="629" spans="1:5" ht="76.5">
      <c r="A629" s="5" t="str">
        <f ca="1">IFERROR(__xludf.DUMMYFUNCTION("""COMPUTED_VALUE"""),"ИП535Ех ""СЕВЕР"" 11-17 мм 0Ex ia IIC T6 Ga ПАШК.425211.126")</f>
        <v>ИП535Ех "СЕВЕР" 11-17 мм 0Ex ia IIC T6 Ga ПАШК.425211.126</v>
      </c>
      <c r="B62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v>
      </c>
      <c r="C629" s="9">
        <f ca="1">IFERROR(__xludf.DUMMYFUNCTION("""COMPUTED_VALUE"""),7686.525)</f>
        <v>7686.5249999999996</v>
      </c>
      <c r="D629" s="6"/>
      <c r="E629" s="8"/>
    </row>
    <row r="630" spans="1:5" ht="76.5">
      <c r="A630" s="5" t="str">
        <f ca="1">IFERROR(__xludf.DUMMYFUNCTION("""COMPUTED_VALUE"""),"ИП535Ех ""СЕВЕР"" 13-18 мм 0Ex ia IIC T6 Ga ПАШК.425211.126")</f>
        <v>ИП535Ех "СЕВЕР" 13-18 мм 0Ex ia IIC T6 Ga ПАШК.425211.126</v>
      </c>
      <c r="B630"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v>
      </c>
      <c r="C630" s="9">
        <f ca="1">IFERROR(__xludf.DUMMYFUNCTION("""COMPUTED_VALUE"""),7862.217)</f>
        <v>7862.2169999999996</v>
      </c>
      <c r="D630" s="6"/>
      <c r="E630" s="8"/>
    </row>
    <row r="631" spans="1:5" ht="89.25">
      <c r="A631" s="5" t="str">
        <f ca="1">IFERROR(__xludf.DUMMYFUNCTION("""COMPUTED_VALUE"""),"ИП535Ех ""СЕВЕР"" МКВМ М20К 0Ex ia IIC T6 Ga ПАШК.425211.126")</f>
        <v>ИП535Ех "СЕВЕР" МКВМ М20К 0Ex ia IIC T6 Ga ПАШК.425211.126</v>
      </c>
      <c r="B631"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v>
      </c>
      <c r="C631" s="11">
        <f ca="1">IFERROR(__xludf.DUMMYFUNCTION("""COMPUTED_VALUE"""),11275)</f>
        <v>11275</v>
      </c>
      <c r="D631" s="6"/>
      <c r="E631" s="8"/>
    </row>
    <row r="632" spans="1:5" ht="76.5">
      <c r="A632" s="5" t="str">
        <f ca="1">IFERROR(__xludf.DUMMYFUNCTION("""COMPUTED_VALUE"""),"ИП535Ех ""СЕВЕР"" МКВМ М20Т1/2 0Ex ia IIC T6 Ga ПАШК.425211.126")</f>
        <v>ИП535Ех "СЕВЕР" МКВМ М20Т1/2 0Ex ia IIC T6 Ga ПАШК.425211.126</v>
      </c>
      <c r="B63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v>
      </c>
      <c r="C632" s="11">
        <f ca="1">IFERROR(__xludf.DUMMYFUNCTION("""COMPUTED_VALUE"""),11275)</f>
        <v>11275</v>
      </c>
      <c r="D632" s="6"/>
      <c r="E632" s="8"/>
    </row>
    <row r="633" spans="1:5" ht="89.25">
      <c r="A633" s="5" t="str">
        <f ca="1">IFERROR(__xludf.DUMMYFUNCTION("""COMPUTED_VALUE"""),"ИП535Ех ""СЕВЕР"" МКВМ М20Т3/4 0Ex ia IIC T6 Ga ПАШК.425211.126")</f>
        <v>ИП535Ех "СЕВЕР" МКВМ М20Т3/4 0Ex ia IIC T6 Ga ПАШК.425211.126</v>
      </c>
      <c r="B63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v>
      </c>
      <c r="C633" s="11">
        <f ca="1">IFERROR(__xludf.DUMMYFUNCTION("""COMPUTED_VALUE"""),11275)</f>
        <v>11275</v>
      </c>
      <c r="D633" s="6"/>
      <c r="E633" s="8"/>
    </row>
    <row r="634" spans="1:5" ht="89.25">
      <c r="A634" s="5" t="str">
        <f ca="1">IFERROR(__xludf.DUMMYFUNCTION("""COMPUTED_VALUE"""),"ИП535Ех ""СЕВЕР"" МКВМ М20КМ10 0Ex ia IIC T6 Ga ПАШК.425211.126")</f>
        <v>ИП535Ех "СЕВЕР" МКВМ М20КМ10 0Ex ia IIC T6 Ga ПАШК.425211.126</v>
      </c>
      <c r="B63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v>
      </c>
      <c r="C634" s="11">
        <f ca="1">IFERROR(__xludf.DUMMYFUNCTION("""COMPUTED_VALUE"""),11735)</f>
        <v>11735</v>
      </c>
      <c r="D634" s="6"/>
      <c r="E634" s="8"/>
    </row>
    <row r="635" spans="1:5" ht="89.25">
      <c r="A635" s="5" t="str">
        <f ca="1">IFERROR(__xludf.DUMMYFUNCTION("""COMPUTED_VALUE"""),"ИП535Ех ""СЕВЕР"" МКВМ М20КМ12 0Ex ia IIC T6 Ga ПАШК.425211.126")</f>
        <v>ИП535Ех "СЕВЕР" МКВМ М20КМ12 0Ex ia IIC T6 Ga ПАШК.425211.126</v>
      </c>
      <c r="B63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v>
      </c>
      <c r="C635" s="11">
        <f ca="1">IFERROR(__xludf.DUMMYFUNCTION("""COMPUTED_VALUE"""),11735)</f>
        <v>11735</v>
      </c>
      <c r="D635" s="6"/>
      <c r="E635" s="8"/>
    </row>
    <row r="636" spans="1:5" ht="102">
      <c r="A636" s="5" t="str">
        <f ca="1">IFERROR(__xludf.DUMMYFUNCTION("""COMPUTED_VALUE"""),"ИП535Ех ""СЕВЕР"" МКВМ М20КМ15/М20КМ18 0Ex ia IIC T6 Ga ПАШК.425211.126")</f>
        <v>ИП535Ех "СЕВЕР" МКВМ М20КМ15/М20КМ18 0Ex ia IIC T6 Ga ПАШК.425211.126</v>
      </c>
      <c r="B63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v>
      </c>
      <c r="C636" s="11">
        <f ca="1">IFERROR(__xludf.DUMMYFUNCTION("""COMPUTED_VALUE"""),12195)</f>
        <v>12195</v>
      </c>
      <c r="D636" s="6"/>
      <c r="E636" s="8"/>
    </row>
    <row r="637" spans="1:5" ht="76.5">
      <c r="A637" s="5" t="str">
        <f ca="1">IFERROR(__xludf.DUMMYFUNCTION("""COMPUTED_VALUE"""),"ИП535Ех ""СЕВЕР"" МКВМ М20В 0Ex ia IIC T6 Ga ПАШК.425211.126")</f>
        <v>ИП535Ех "СЕВЕР" МКВМ М20В 0Ex ia IIC T6 Ga ПАШК.425211.126</v>
      </c>
      <c r="B63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v>
      </c>
      <c r="C637" s="11">
        <f ca="1">IFERROR(__xludf.DUMMYFUNCTION("""COMPUTED_VALUE"""),12195)</f>
        <v>12195</v>
      </c>
      <c r="D637" s="6"/>
      <c r="E637" s="8"/>
    </row>
    <row r="638" spans="1:5" ht="89.25">
      <c r="A638" s="5" t="str">
        <f ca="1">IFERROR(__xludf.DUMMYFUNCTION("""COMPUTED_VALUE"""),"ИП535Ех ""СЕВЕР"" МКВМ М20В2 0Ex ia IIC T6 Ga ПАШК.425211.126")</f>
        <v>ИП535Ех "СЕВЕР" МКВМ М20В2 0Ex ia IIC T6 Ga ПАШК.425211.126</v>
      </c>
      <c r="B63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v>
      </c>
      <c r="C638" s="11">
        <f ca="1">IFERROR(__xludf.DUMMYFUNCTION("""COMPUTED_VALUE"""),12195)</f>
        <v>12195</v>
      </c>
      <c r="D638" s="6"/>
      <c r="E638" s="8"/>
    </row>
    <row r="639" spans="1:5" ht="89.25">
      <c r="A639" s="5" t="str">
        <f ca="1">IFERROR(__xludf.DUMMYFUNCTION("""COMPUTED_VALUE"""),"ИП535Ех ""СЕВЕР"" МКВМ М25 (К, В, В2, T3/4, КМ8, КМ10, КМ12, КМ15, КМ18,КМ20)")</f>
        <v>ИП535Ех "СЕВЕР" МКВМ М25 (К, В, В2, T3/4, КМ8, КМ10, КМ12, КМ15, КМ18,КМ20)</v>
      </c>
      <c r="B63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МКВМ М25 (К, В, В2, T3/4, КМ8, КМ10, КМ12, КМ15, КМ18,КМ20). IP 66/67")</f>
        <v>Извещатель приводится в действие смещением защитного элемента и опусканием приводного элемента (ручки) извещателя вниз в направлении стрелок. МКВМ М25 (К, В, В2, T3/4, КМ8, КМ10, КМ12, КМ15, КМ18,КМ20). IP 66/67</v>
      </c>
      <c r="C639" s="11">
        <f ca="1">IFERROR(__xludf.DUMMYFUNCTION("""COMPUTED_VALUE"""),24475)</f>
        <v>24475</v>
      </c>
      <c r="D639" s="6"/>
      <c r="E639" s="8"/>
    </row>
    <row r="640" spans="1:5" ht="12.75">
      <c r="A640" s="5" t="str">
        <f ca="1">IFERROR(__xludf.DUMMYFUNCTION("""COMPUTED_VALUE"""),"ИП 535-26 «Север» (без вводов, глухая коробка)")</f>
        <v>ИП 535-26 «Север» (без вводов, глухая коробка)</v>
      </c>
      <c r="B640" s="6"/>
      <c r="C640" s="9">
        <f ca="1">IFERROR(__xludf.DUMMYFUNCTION("""COMPUTED_VALUE"""),5020.532)</f>
        <v>5020.5320000000002</v>
      </c>
      <c r="D640" s="6"/>
      <c r="E640" s="8"/>
    </row>
    <row r="641" spans="1:5" ht="51">
      <c r="A641" s="5" t="str">
        <f ca="1">IFERROR(__xludf.DUMMYFUNCTION("""COMPUTED_VALUE"""),"ИП 535-26 «Север» 6-12 мм АТФЕ.425211.001")</f>
        <v>ИП 535-26 «Север» 6-12 мм АТФЕ.425211.001</v>
      </c>
      <c r="B641" s="6" t="str">
        <f ca="1">IFERROR(__xludf.DUMMYFUNCTION("""COMPUTED_VALUE"""),"приводится в действие опусканием вниз в направлении стрелок приводного элемента (ручки). Пластиковый ввод 6-12 мм. IP 66/67")</f>
        <v>приводится в действие опусканием вниз в направлении стрелок приводного элемента (ручки). Пластиковый ввод 6-12 мм. IP 66/67</v>
      </c>
      <c r="C641" s="9">
        <f ca="1">IFERROR(__xludf.DUMMYFUNCTION("""COMPUTED_VALUE"""),5160.65)</f>
        <v>5160.6499999999996</v>
      </c>
      <c r="D641" s="6"/>
      <c r="E641" s="8"/>
    </row>
    <row r="642" spans="1:5" ht="51">
      <c r="A642" s="5" t="str">
        <f ca="1">IFERROR(__xludf.DUMMYFUNCTION("""COMPUTED_VALUE"""),"ИП 535-26 «Север» 11-17 мм АТФЕ.425211.001")</f>
        <v>ИП 535-26 «Север» 11-17 мм АТФЕ.425211.001</v>
      </c>
      <c r="B642" s="6" t="str">
        <f ca="1">IFERROR(__xludf.DUMMYFUNCTION("""COMPUTED_VALUE"""),"приводится в действие опусканием вниз в направлении стрелок приводного элемента (ручки). Пластиковый ввод 11-17 мм. IP 66/67")</f>
        <v>приводится в действие опусканием вниз в направлении стрелок приводного элемента (ручки). Пластиковый ввод 11-17 мм. IP 66/67</v>
      </c>
      <c r="C642" s="9">
        <f ca="1">IFERROR(__xludf.DUMMYFUNCTION("""COMPUTED_VALUE"""),5490.375)</f>
        <v>5490.375</v>
      </c>
      <c r="D642" s="6"/>
      <c r="E642" s="8"/>
    </row>
    <row r="643" spans="1:5" ht="51">
      <c r="A643" s="5" t="str">
        <f ca="1">IFERROR(__xludf.DUMMYFUNCTION("""COMPUTED_VALUE"""),"ИП 535-26 «Север» 13-18 мм АТФЕ.425211.001")</f>
        <v>ИП 535-26 «Север» 13-18 мм АТФЕ.425211.001</v>
      </c>
      <c r="B643" s="6" t="str">
        <f ca="1">IFERROR(__xludf.DUMMYFUNCTION("""COMPUTED_VALUE"""),"приводится в действие опусканием вниз в направлении стрелок приводного элемента (ручки). Пластиковый ввод 13-18 мм. IP 66/67")</f>
        <v>приводится в действие опусканием вниз в направлении стрелок приводного элемента (ручки). Пластиковый ввод 13-18 мм. IP 66/67</v>
      </c>
      <c r="C643" s="9">
        <f ca="1">IFERROR(__xludf.DUMMYFUNCTION("""COMPUTED_VALUE"""),5666.067)</f>
        <v>5666.067</v>
      </c>
      <c r="D643" s="6"/>
      <c r="E643" s="8"/>
    </row>
    <row r="644" spans="1:5" ht="63.75">
      <c r="A644" s="5" t="str">
        <f ca="1">IFERROR(__xludf.DUMMYFUNCTION("""COMPUTED_VALUE"""),"ИП 535-26 «Север» МКВМ М20К АТФЕ.425211.001")</f>
        <v>ИП 535-26 «Север» МКВМ М20К АТФЕ.425211.001</v>
      </c>
      <c r="B644" s="6" t="str">
        <f ca="1">IFERROR(__xludf.DUMMYFUNCTION("""COMPUTED_VALUE"""),"приводится в действие опусканием вниз в направлении стрелок приводного элемента (ручки). Ввод из нержавейки МКВМ М20К (открытая прокладка кабеля) . IP 66/67")</f>
        <v>приводится в действие опусканием вниз в направлении стрелок приводного элемента (ручки). Ввод из нержавейки МКВМ М20К (открытая прокладка кабеля) . IP 66/67</v>
      </c>
      <c r="C644" s="11">
        <f ca="1">IFERROR(__xludf.DUMMYFUNCTION("""COMPUTED_VALUE"""),9288)</f>
        <v>9288</v>
      </c>
      <c r="D644" s="6"/>
      <c r="E644" s="8"/>
    </row>
    <row r="645" spans="1:5" ht="63.75">
      <c r="A645" s="5" t="str">
        <f ca="1">IFERROR(__xludf.DUMMYFUNCTION("""COMPUTED_VALUE"""),"ИП 535-26 «Север» МКВМ М20Т1/2 АТФЕ.425211.001")</f>
        <v>ИП 535-26 «Север» МКВМ М20Т1/2 АТФЕ.425211.001</v>
      </c>
      <c r="B645" s="6" t="str">
        <f ca="1">IFERROR(__xludf.DUMMYFUNCTION("""COMPUTED_VALUE"""),"приводится в действие опусканием вниз в направлении стрелок приводного элемента (ручки). Ввод из нержавейки МКВМ М20Т1/2 (труба с резьбой G1/2). IP 66/67")</f>
        <v>приводится в действие опусканием вниз в направлении стрелок приводного элемента (ручки). Ввод из нержавейки МКВМ М20Т1/2 (труба с резьбой G1/2). IP 66/67</v>
      </c>
      <c r="C645" s="11">
        <f ca="1">IFERROR(__xludf.DUMMYFUNCTION("""COMPUTED_VALUE"""),9288)</f>
        <v>9288</v>
      </c>
      <c r="D645" s="6"/>
      <c r="E645" s="8"/>
    </row>
    <row r="646" spans="1:5" ht="63.75">
      <c r="A646" s="5" t="str">
        <f ca="1">IFERROR(__xludf.DUMMYFUNCTION("""COMPUTED_VALUE"""),"ИП 535-26 «Север» МКВМ М20Т3/4 АТФЕ.425211.001")</f>
        <v>ИП 535-26 «Север» МКВМ М20Т3/4 АТФЕ.425211.001</v>
      </c>
      <c r="B646" s="6" t="str">
        <f ca="1">IFERROR(__xludf.DUMMYFUNCTION("""COMPUTED_VALUE"""),"приводится в действие опусканием вниз в направлении стрелок приводного элемента (ручки). Ввод из нержавейки МКВМ М20Т3/4 (труба с резьбой G3/4) . IP 66/67")</f>
        <v>приводится в действие опусканием вниз в направлении стрелок приводного элемента (ручки). Ввод из нержавейки МКВМ М20Т3/4 (труба с резьбой G3/4) . IP 66/67</v>
      </c>
      <c r="C646" s="11">
        <f ca="1">IFERROR(__xludf.DUMMYFUNCTION("""COMPUTED_VALUE"""),9288)</f>
        <v>9288</v>
      </c>
      <c r="D646" s="6"/>
      <c r="E646" s="8"/>
    </row>
    <row r="647" spans="1:5" ht="63.75">
      <c r="A647" s="5" t="str">
        <f ca="1">IFERROR(__xludf.DUMMYFUNCTION("""COMPUTED_VALUE"""),"ИП 535-26 «Север» МКВМ М20КМ10 АТФЕ.425211.001")</f>
        <v>ИП 535-26 «Север» МКВМ М20КМ10 АТФЕ.425211.001</v>
      </c>
      <c r="B647" s="6" t="str">
        <f ca="1">IFERROR(__xludf.DUMMYFUNCTION("""COMPUTED_VALUE"""),"приводится в действие опусканием вниз в направлении стрелок приводного элемента (ручки). Ввод из нержавейки МКВМ М20КМ10 (металлорукав РЗЦ 10мм). IP 66/67")</f>
        <v>приводится в действие опусканием вниз в направлении стрелок приводного элемента (ручки). Ввод из нержавейки МКВМ М20КМ10 (металлорукав РЗЦ 10мм). IP 66/67</v>
      </c>
      <c r="C647" s="11">
        <f ca="1">IFERROR(__xludf.DUMMYFUNCTION("""COMPUTED_VALUE"""),9748)</f>
        <v>9748</v>
      </c>
      <c r="D647" s="6"/>
      <c r="E647" s="8"/>
    </row>
    <row r="648" spans="1:5" ht="63.75">
      <c r="A648" s="5" t="str">
        <f ca="1">IFERROR(__xludf.DUMMYFUNCTION("""COMPUTED_VALUE"""),"ИП 535-26 «Север» МКВМ М20КМ12 АТФЕ.425211.001")</f>
        <v>ИП 535-26 «Север» МКВМ М20КМ12 АТФЕ.425211.001</v>
      </c>
      <c r="B648" s="6" t="str">
        <f ca="1">IFERROR(__xludf.DUMMYFUNCTION("""COMPUTED_VALUE"""),"приводится в действие опусканием вниз в направлении стрелок приводного элемента (ручки). Ввод из нержавейки МКВМ М20КМ12 (металлорукав РЗЦ 12мм). IP 66/67")</f>
        <v>приводится в действие опусканием вниз в направлении стрелок приводного элемента (ручки). Ввод из нержавейки МКВМ М20КМ12 (металлорукав РЗЦ 12мм). IP 66/67</v>
      </c>
      <c r="C648" s="11">
        <f ca="1">IFERROR(__xludf.DUMMYFUNCTION("""COMPUTED_VALUE"""),9748)</f>
        <v>9748</v>
      </c>
      <c r="D648" s="6"/>
      <c r="E648" s="8"/>
    </row>
    <row r="649" spans="1:5" ht="76.5">
      <c r="A649" s="5" t="str">
        <f ca="1">IFERROR(__xludf.DUMMYFUNCTION("""COMPUTED_VALUE"""),"ИП 535-26 «Север» МКВМ М20КМ15/М20КМ18 АТФЕ.425211.001")</f>
        <v>ИП 535-26 «Север» МКВМ М20КМ15/М20КМ18 АТФЕ.425211.001</v>
      </c>
      <c r="B649" s="6" t="str">
        <f ca="1">IFERROR(__xludf.DUMMYFUNCTION("""COMPUTED_VALUE"""),"приводится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f>
        <v>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v>
      </c>
      <c r="C649" s="11">
        <f ca="1">IFERROR(__xludf.DUMMYFUNCTION("""COMPUTED_VALUE"""),10207)</f>
        <v>10207</v>
      </c>
      <c r="D649" s="6"/>
      <c r="E649" s="8"/>
    </row>
    <row r="650" spans="1:5" ht="63.75">
      <c r="A650" s="5" t="str">
        <f ca="1">IFERROR(__xludf.DUMMYFUNCTION("""COMPUTED_VALUE"""),"ИП 535-26 «Север» МКВМ М20В АТФЕ.425211.001")</f>
        <v>ИП 535-26 «Север» МКВМ М20В АТФЕ.425211.001</v>
      </c>
      <c r="B650" s="6" t="str">
        <f ca="1">IFERROR(__xludf.DUMMYFUNCTION("""COMPUTED_VALUE"""),"приводится в действие опусканием вниз в направлении стрелок приводного элемента (ручки). Ввод из нержавейки МКВМ М20В (Бронированный кабель). IP 66/67")</f>
        <v>приводится в действие опусканием вниз в направлении стрелок приводного элемента (ручки). Ввод из нержавейки МКВМ М20В (Бронированный кабель). IP 66/67</v>
      </c>
      <c r="C650" s="11">
        <f ca="1">IFERROR(__xludf.DUMMYFUNCTION("""COMPUTED_VALUE"""),10207)</f>
        <v>10207</v>
      </c>
      <c r="D650" s="6"/>
      <c r="E650" s="8"/>
    </row>
    <row r="651" spans="1:5" ht="63.75">
      <c r="A651" s="5" t="str">
        <f ca="1">IFERROR(__xludf.DUMMYFUNCTION("""COMPUTED_VALUE"""),"ИП 535-26 «Север» МКВМ М20В2 АТФЕ.425211.001")</f>
        <v>ИП 535-26 «Север» МКВМ М20В2 АТФЕ.425211.001</v>
      </c>
      <c r="B651" s="6" t="str">
        <f ca="1">IFERROR(__xludf.DUMMYFUNCTION("""COMPUTED_VALUE"""),"приводится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f>
        <v>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v>
      </c>
      <c r="C651" s="11">
        <f ca="1">IFERROR(__xludf.DUMMYFUNCTION("""COMPUTED_VALUE"""),10207)</f>
        <v>10207</v>
      </c>
      <c r="D651" s="6"/>
      <c r="E651" s="8"/>
    </row>
    <row r="652" spans="1:5" ht="63.75">
      <c r="A652" s="5" t="str">
        <f ca="1">IFERROR(__xludf.DUMMYFUNCTION("""COMPUTED_VALUE"""),"ИП 535-26 «Север» МКВМ М25 (К, В, В2, T3/4, КМ8, КМ10, КМ12, КМ15, КМ18,КМ20)")</f>
        <v>ИП 535-26 «Север» МКВМ М25 (К, В, В2, T3/4, КМ8, КМ10, КМ12, КМ15, КМ18,КМ20)</v>
      </c>
      <c r="B652" s="6" t="str">
        <f ca="1">IFERROR(__xludf.DUMMYFUNCTION("""COMPUTED_VALUE"""),"приводится в действие опусканием вниз в направлении стрелок приводного элемента (ручки). Ввод из нержавейки  МКВМ М25 (К, В, В2, T3/4, КМ8, КМ10, КМ12, КМ15, КМ18,КМ20). IP 66/67")</f>
        <v>приводится в действие опусканием вниз в направлении стрелок приводного элемента (ручки). Ввод из нержавейки  МКВМ М25 (К, В, В2, T3/4, КМ8, КМ10, КМ12, КМ15, КМ18,КМ20). IP 66/67</v>
      </c>
      <c r="C652" s="11">
        <f ca="1">IFERROR(__xludf.DUMMYFUNCTION("""COMPUTED_VALUE"""),21888)</f>
        <v>21888</v>
      </c>
      <c r="D652" s="6"/>
      <c r="E652" s="8"/>
    </row>
    <row r="653" spans="1:5" ht="38.25">
      <c r="A653" s="5" t="str">
        <f ca="1">IFERROR(__xludf.DUMMYFUNCTION("""COMPUTED_VALUE"""),"ИП 535-26 «Север» (с дополнительным переключающим герконом, расширяющим функциональные возможности извещателя) АТФЕ.425211.001")</f>
        <v>ИП 535-26 «Север» (с дополнительным переключающим герконом, расширяющим функциональные возможности извещателя) АТФЕ.425211.001</v>
      </c>
      <c r="B653" s="6" t="str">
        <f ca="1">IFERROR(__xludf.DUMMYFUNCTION("""COMPUTED_VALUE"""),"1,5Вт, 30В, 0,2А IP 66/67")</f>
        <v>1,5Вт, 30В, 0,2А IP 66/67</v>
      </c>
      <c r="C653" s="9">
        <f ca="1">IFERROR(__xludf.DUMMYFUNCTION("""COMPUTED_VALUE"""),5627.0566)</f>
        <v>5627.0565999999999</v>
      </c>
      <c r="D653" s="6"/>
      <c r="E653" s="8"/>
    </row>
    <row r="654" spans="1:5" ht="12.75">
      <c r="A654" s="5" t="str">
        <f ca="1">IFERROR(__xludf.DUMMYFUNCTION("""COMPUTED_VALUE"""),"ИП 535-50-А «Север» (без вводов, глухая коробка)")</f>
        <v>ИП 535-50-А «Север» (без вводов, глухая коробка)</v>
      </c>
      <c r="B654" s="6"/>
      <c r="C654" s="9">
        <f ca="1">IFERROR(__xludf.DUMMYFUNCTION("""COMPUTED_VALUE"""),5020.532)</f>
        <v>5020.5320000000002</v>
      </c>
      <c r="D654" s="6"/>
      <c r="E654" s="8"/>
    </row>
    <row r="655" spans="1:5" ht="51">
      <c r="A655" s="5" t="str">
        <f ca="1">IFERROR(__xludf.DUMMYFUNCTION("""COMPUTED_VALUE"""),"ИП 535-50-A «СЕВЕР» ПАШК.42511.126ПС (Пластиковый ввод 6-12 мм)")</f>
        <v>ИП 535-50-A «СЕВЕР» ПАШК.42511.126ПС (Пластиковый ввод 6-12 мм)</v>
      </c>
      <c r="B655" s="6" t="str">
        <f ca="1">IFERROR(__xludf.DUMMYFUNCTION("""COMPUTED_VALUE"""),"приводится в действие опусканием вниз в направлении стрелок приводного элемента (ручки). Пластиковый ввод 6-12 мм. IP 66/67")</f>
        <v>приводится в действие опусканием вниз в направлении стрелок приводного элемента (ручки). Пластиковый ввод 6-12 мм. IP 66/67</v>
      </c>
      <c r="C655" s="9">
        <f ca="1">IFERROR(__xludf.DUMMYFUNCTION("""COMPUTED_VALUE"""),5160.65)</f>
        <v>5160.6499999999996</v>
      </c>
      <c r="D655" s="6"/>
      <c r="E655" s="8"/>
    </row>
    <row r="656" spans="1:5" ht="51">
      <c r="A656" s="5" t="str">
        <f ca="1">IFERROR(__xludf.DUMMYFUNCTION("""COMPUTED_VALUE"""),"ИП 535-50-A «СЕВЕР» ПАШК.42511.126ПС (Пластиковый ввод 11-17 мм)")</f>
        <v>ИП 535-50-A «СЕВЕР» ПАШК.42511.126ПС (Пластиковый ввод 11-17 мм)</v>
      </c>
      <c r="B656" s="6" t="str">
        <f ca="1">IFERROR(__xludf.DUMMYFUNCTION("""COMPUTED_VALUE"""),"приводится в действие опусканием вниз в направлении стрелок приводного элемента (ручки). Пластиковый ввод 11-17 мм. IP 66/67")</f>
        <v>приводится в действие опусканием вниз в направлении стрелок приводного элемента (ручки). Пластиковый ввод 11-17 мм. IP 66/67</v>
      </c>
      <c r="C656" s="9">
        <f ca="1">IFERROR(__xludf.DUMMYFUNCTION("""COMPUTED_VALUE"""),5490.375)</f>
        <v>5490.375</v>
      </c>
      <c r="D656" s="6"/>
      <c r="E656" s="8"/>
    </row>
    <row r="657" spans="1:5" ht="51">
      <c r="A657" s="5" t="str">
        <f ca="1">IFERROR(__xludf.DUMMYFUNCTION("""COMPUTED_VALUE"""),"ИП 535-50-A «СЕВЕР» ПАШК.42511.126ПС (Пластиковый ввод 13-18 мм)")</f>
        <v>ИП 535-50-A «СЕВЕР» ПАШК.42511.126ПС (Пластиковый ввод 13-18 мм)</v>
      </c>
      <c r="B657" s="6" t="str">
        <f ca="1">IFERROR(__xludf.DUMMYFUNCTION("""COMPUTED_VALUE"""),"приводится в действие опусканием вниз в направлении стрелок приводного элемента (ручки). Пластиковый ввод 13-18 мм. IP 66/67")</f>
        <v>приводится в действие опусканием вниз в направлении стрелок приводного элемента (ручки). Пластиковый ввод 13-18 мм. IP 66/67</v>
      </c>
      <c r="C657" s="9">
        <f ca="1">IFERROR(__xludf.DUMMYFUNCTION("""COMPUTED_VALUE"""),5666.067)</f>
        <v>5666.067</v>
      </c>
      <c r="D657" s="6"/>
      <c r="E657" s="8"/>
    </row>
    <row r="658" spans="1:5" ht="63.75">
      <c r="A658" s="5" t="str">
        <f ca="1">IFERROR(__xludf.DUMMYFUNCTION("""COMPUTED_VALUE"""),"ИП 535-50-A «СЕВЕР» ПАШК.42511.126ПС (Ввод из нержавейки МКВМ М20К (открытая прокладка кабеля)) ")</f>
        <v xml:space="preserve">ИП 535-50-A «СЕВЕР» ПАШК.42511.126ПС (Ввод из нержавейки МКВМ М20К (открытая прокладка кабеля)) </v>
      </c>
      <c r="B658" s="6" t="str">
        <f ca="1">IFERROR(__xludf.DUMMYFUNCTION("""COMPUTED_VALUE"""),"приводится в действие опусканием вниз в направлении стрелок приводного элемента (ручки). Ввод из нержавейки МКВМ М20К (открытая прокладка кабеля) . IP 66/67")</f>
        <v>приводится в действие опусканием вниз в направлении стрелок приводного элемента (ручки). Ввод из нержавейки МКВМ М20К (открытая прокладка кабеля) . IP 66/67</v>
      </c>
      <c r="C658" s="11">
        <f ca="1">IFERROR(__xludf.DUMMYFUNCTION("""COMPUTED_VALUE"""),9288)</f>
        <v>9288</v>
      </c>
      <c r="D658" s="6"/>
      <c r="E658" s="8"/>
    </row>
    <row r="659" spans="1:5" ht="63.75">
      <c r="A659" s="5" t="str">
        <f ca="1">IFERROR(__xludf.DUMMYFUNCTION("""COMPUTED_VALUE"""),"ИП 535-50-A «СЕВЕР» ПАШК.42511.126ПС (Ввод из нержавейки МКВМ М20Т1/2 (труба с резьбой G1/2)) ")</f>
        <v xml:space="preserve">ИП 535-50-A «СЕВЕР» ПАШК.42511.126ПС (Ввод из нержавейки МКВМ М20Т1/2 (труба с резьбой G1/2)) </v>
      </c>
      <c r="B659" s="6" t="str">
        <f ca="1">IFERROR(__xludf.DUMMYFUNCTION("""COMPUTED_VALUE"""),"приводится в действие опусканием вниз в направлении стрелок приводного элемента (ручки). Ввод из нержавейки МКВМ М20Т1/2 (труба с резьбой G1/2). IP 66/67")</f>
        <v>приводится в действие опусканием вниз в направлении стрелок приводного элемента (ручки). Ввод из нержавейки МКВМ М20Т1/2 (труба с резьбой G1/2). IP 66/67</v>
      </c>
      <c r="C659" s="11">
        <f ca="1">IFERROR(__xludf.DUMMYFUNCTION("""COMPUTED_VALUE"""),9288)</f>
        <v>9288</v>
      </c>
      <c r="D659" s="6"/>
      <c r="E659" s="8"/>
    </row>
    <row r="660" spans="1:5" ht="63.75">
      <c r="A660" s="5" t="str">
        <f ca="1">IFERROR(__xludf.DUMMYFUNCTION("""COMPUTED_VALUE"""),"ИП 535-50-A «СЕВЕР» ПАШК.42511.126ПС (Ввод из нержавейки МКВМ М20Т3/4 (труба с резьбой G3/4)")</f>
        <v>ИП 535-50-A «СЕВЕР» ПАШК.42511.126ПС (Ввод из нержавейки МКВМ М20Т3/4 (труба с резьбой G3/4)</v>
      </c>
      <c r="B660" s="6" t="str">
        <f ca="1">IFERROR(__xludf.DUMMYFUNCTION("""COMPUTED_VALUE"""),"приводится в действие опусканием вниз в направлении стрелок приводного элемента (ручки). Ввод из нержавейки МКВМ М20Т3/4 (труба с резьбой G3/4) . IP 66/67")</f>
        <v>приводится в действие опусканием вниз в направлении стрелок приводного элемента (ручки). Ввод из нержавейки МКВМ М20Т3/4 (труба с резьбой G3/4) . IP 66/67</v>
      </c>
      <c r="C660" s="11">
        <f ca="1">IFERROR(__xludf.DUMMYFUNCTION("""COMPUTED_VALUE"""),9288)</f>
        <v>9288</v>
      </c>
      <c r="D660" s="6"/>
      <c r="E660" s="8"/>
    </row>
    <row r="661" spans="1:5" ht="63.75">
      <c r="A661" s="5" t="str">
        <f ca="1">IFERROR(__xludf.DUMMYFUNCTION("""COMPUTED_VALUE"""),"ИП 535-50-A «СЕВЕР» ПАШК.42511.126ПС (Ввод из нержавейки МКВМ М20КМ10 (металлорукав РЗЦ 10мм))")</f>
        <v>ИП 535-50-A «СЕВЕР» ПАШК.42511.126ПС (Ввод из нержавейки МКВМ М20КМ10 (металлорукав РЗЦ 10мм))</v>
      </c>
      <c r="B661" s="6" t="str">
        <f ca="1">IFERROR(__xludf.DUMMYFUNCTION("""COMPUTED_VALUE"""),"приводится в действие опусканием вниз в направлении стрелок приводного элемента (ручки). Ввод из нержавейки МКВМ М20КМ10 (металлорукав РЗЦ 10мм). IP 66/67")</f>
        <v>приводится в действие опусканием вниз в направлении стрелок приводного элемента (ручки). Ввод из нержавейки МКВМ М20КМ10 (металлорукав РЗЦ 10мм). IP 66/67</v>
      </c>
      <c r="C661" s="11">
        <f ca="1">IFERROR(__xludf.DUMMYFUNCTION("""COMPUTED_VALUE"""),9748)</f>
        <v>9748</v>
      </c>
      <c r="D661" s="6"/>
      <c r="E661" s="8"/>
    </row>
    <row r="662" spans="1:5" ht="63.75">
      <c r="A662" s="5" t="str">
        <f ca="1">IFERROR(__xludf.DUMMYFUNCTION("""COMPUTED_VALUE"""),"ИП 535-50-A «СЕВЕР» ПАШК.42511.126ПС (Ввод из нержавейки МКВМ М20КМ12 (металлорукав РЗЦ 12мм)")</f>
        <v>ИП 535-50-A «СЕВЕР» ПАШК.42511.126ПС (Ввод из нержавейки МКВМ М20КМ12 (металлорукав РЗЦ 12мм)</v>
      </c>
      <c r="B662" s="6" t="str">
        <f ca="1">IFERROR(__xludf.DUMMYFUNCTION("""COMPUTED_VALUE"""),"приводится в действие опусканием вниз в направлении стрелок приводного элемента (ручки). Ввод из нержавейки МКВМ М20КМ12 (металлорукав РЗЦ 12мм). IP 66/67")</f>
        <v>приводится в действие опусканием вниз в направлении стрелок приводного элемента (ручки). Ввод из нержавейки МКВМ М20КМ12 (металлорукав РЗЦ 12мм). IP 66/67</v>
      </c>
      <c r="C662" s="11">
        <f ca="1">IFERROR(__xludf.DUMMYFUNCTION("""COMPUTED_VALUE"""),9748)</f>
        <v>9748</v>
      </c>
      <c r="D662" s="6"/>
      <c r="E662" s="8"/>
    </row>
    <row r="663" spans="1:5" ht="76.5">
      <c r="A663" s="5" t="str">
        <f ca="1">IFERROR(__xludf.DUMMYFUNCTION("""COMPUTED_VALUE"""),"ИП 535-50-A «СЕВЕР» ПАШК.42511.126ПС (Ввод из нержавейки МКВМ М20КМ15 (Металлорукав РЗЦ 15мм)/ МКВМ М20КМ18 (Металлорукав РЗЦ 18мм))")</f>
        <v>ИП 535-50-A «СЕВЕР» ПАШК.42511.126ПС (Ввод из нержавейки МКВМ М20КМ15 (Металлорукав РЗЦ 15мм)/ МКВМ М20КМ18 (Металлорукав РЗЦ 18мм))</v>
      </c>
      <c r="B663" s="6" t="str">
        <f ca="1">IFERROR(__xludf.DUMMYFUNCTION("""COMPUTED_VALUE"""),"приводится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f>
        <v>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v>
      </c>
      <c r="C663" s="11">
        <f ca="1">IFERROR(__xludf.DUMMYFUNCTION("""COMPUTED_VALUE"""),10207)</f>
        <v>10207</v>
      </c>
      <c r="D663" s="6"/>
      <c r="E663" s="8"/>
    </row>
    <row r="664" spans="1:5" ht="63.75">
      <c r="A664" s="5" t="str">
        <f ca="1">IFERROR(__xludf.DUMMYFUNCTION("""COMPUTED_VALUE"""),"ИП 535-50-A «СЕВЕР» ПАШК.42511.126ПС (Ввод из нержавейки МКВМ М20В (Бронированный кабель))")</f>
        <v>ИП 535-50-A «СЕВЕР» ПАШК.42511.126ПС (Ввод из нержавейки МКВМ М20В (Бронированный кабель))</v>
      </c>
      <c r="B664" s="6" t="str">
        <f ca="1">IFERROR(__xludf.DUMMYFUNCTION("""COMPUTED_VALUE"""),"приводится в действие опусканием вниз в направлении стрелок приводного элемента (ручки). Ввод из нержавейки МКВМ М20В (Бронированный кабель). IP 66/67")</f>
        <v>приводится в действие опусканием вниз в направлении стрелок приводного элемента (ручки). Ввод из нержавейки МКВМ М20В (Бронированный кабель). IP 66/67</v>
      </c>
      <c r="C664" s="11">
        <f ca="1">IFERROR(__xludf.DUMMYFUNCTION("""COMPUTED_VALUE"""),10207)</f>
        <v>10207</v>
      </c>
      <c r="D664" s="6"/>
      <c r="E664" s="8"/>
    </row>
    <row r="665" spans="1:5" ht="63.75">
      <c r="A665" s="5" t="str">
        <f ca="1">IFERROR(__xludf.DUMMYFUNCTION("""COMPUTED_VALUE"""),"ИП 535-50-A «СЕВЕР» ПАШК.42511.126ПС (Ввод из нержавейки МКВ М20В2 (Бронированный кабель с двойным уплотнением))")</f>
        <v>ИП 535-50-A «СЕВЕР» ПАШК.42511.126ПС (Ввод из нержавейки МКВ М20В2 (Бронированный кабель с двойным уплотнением))</v>
      </c>
      <c r="B665" s="6" t="str">
        <f ca="1">IFERROR(__xludf.DUMMYFUNCTION("""COMPUTED_VALUE"""),"приводится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f>
        <v>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v>
      </c>
      <c r="C665" s="11">
        <f ca="1">IFERROR(__xludf.DUMMYFUNCTION("""COMPUTED_VALUE"""),10207)</f>
        <v>10207</v>
      </c>
      <c r="D665" s="6"/>
      <c r="E665" s="8"/>
    </row>
    <row r="666" spans="1:5" ht="63.75">
      <c r="A666" s="5" t="str">
        <f ca="1">IFERROR(__xludf.DUMMYFUNCTION("""COMPUTED_VALUE"""),"ИП 535-50-A «СЕВЕР» ПАШК.42511.126ПС МКВМ М25 (К, В, В2, T3/4, КМ8, КМ10, КМ12, КМ15, КМ18,КМ20)")</f>
        <v>ИП 535-50-A «СЕВЕР» ПАШК.42511.126ПС МКВМ М25 (К, В, В2, T3/4, КМ8, КМ10, КМ12, КМ15, КМ18,КМ20)</v>
      </c>
      <c r="B666" s="6" t="str">
        <f ca="1">IFERROR(__xludf.DUMMYFUNCTION("""COMPUTED_VALUE"""),"приводится в действие опусканием вниз в направлении стрелок приводного элемента (ручки). Ввод из нержавейки МКВМ М25 (К, В, В2, T3/4, КМ8, КМ10, КМ12, КМ15, КМ18,КМ20). IP 66/67")</f>
        <v>приводится в действие опусканием вниз в направлении стрелок приводного элемента (ручки). Ввод из нержавейки МКВМ М25 (К, В, В2, T3/4, КМ8, КМ10, КМ12, КМ15, КМ18,КМ20). IP 66/67</v>
      </c>
      <c r="C666" s="11">
        <f ca="1">IFERROR(__xludf.DUMMYFUNCTION("""COMPUTED_VALUE"""),21888)</f>
        <v>21888</v>
      </c>
      <c r="D666" s="6"/>
      <c r="E666" s="8"/>
    </row>
    <row r="667" spans="1:5" ht="51">
      <c r="A667" s="5" t="str">
        <f ca="1">IFERROR(__xludf.DUMMYFUNCTION("""COMPUTED_VALUE"""),"ИП 535-50-B «СЕВЕР» ПАШК.42511.126ПС")</f>
        <v>ИП 535-50-B «СЕВЕР» ПАШК.42511.126ПС</v>
      </c>
      <c r="B667" s="6" t="str">
        <f ca="1">IFERROR(__xludf.DUMMYFUNCTION("""COMPUTED_VALUE"""),"приводится в действие смещением защитного элемента и опусканием приводного элемента (ручки) извещателя вниз в направлении стрелок. IP 66/67")</f>
        <v>приводится в действие смещением защитного элемента и опусканием приводного элемента (ручки) извещателя вниз в направлении стрелок. IP 66/67</v>
      </c>
      <c r="C667" s="9">
        <f ca="1">IFERROR(__xludf.DUMMYFUNCTION("""COMPUTED_VALUE"""),5304.1923)</f>
        <v>5304.1922999999997</v>
      </c>
      <c r="D667" s="6"/>
      <c r="E667" s="8"/>
    </row>
    <row r="668" spans="1:5" ht="12.75">
      <c r="A668" s="5" t="str">
        <f ca="1">IFERROR(__xludf.DUMMYFUNCTION("""COMPUTED_VALUE"""),"Защитный элемент к ИП 535-50 «СЕВЕР»")</f>
        <v>Защитный элемент к ИП 535-50 «СЕВЕР»</v>
      </c>
      <c r="B668" s="6" t="str">
        <f ca="1">IFERROR(__xludf.DUMMYFUNCTION("""COMPUTED_VALUE"""),"Защитный элемент к ИП 535-50 «СЕВЕР»")</f>
        <v>Защитный элемент к ИП 535-50 «СЕВЕР»</v>
      </c>
      <c r="C668" s="9">
        <f ca="1">IFERROR(__xludf.DUMMYFUNCTION("""COMPUTED_VALUE"""),144.6555)</f>
        <v>144.65549999999999</v>
      </c>
      <c r="D668" s="6"/>
      <c r="E668" s="8"/>
    </row>
    <row r="669" spans="1:5" ht="38.25">
      <c r="A669" s="5" t="str">
        <f ca="1">IFERROR(__xludf.DUMMYFUNCTION("""COMPUTED_VALUE"""),"ИП 535-50-A «СЕВЕР» (с дополнительным переключающим герконом, расширяющим функциональные возможности извещателя) ПАШК.42511.126ПС")</f>
        <v>ИП 535-50-A «СЕВЕР» (с дополнительным переключающим герконом, расширяющим функциональные возможности извещателя) ПАШК.42511.126ПС</v>
      </c>
      <c r="B669" s="6" t="str">
        <f ca="1">IFERROR(__xludf.DUMMYFUNCTION("""COMPUTED_VALUE"""),"1,5Вт, 30В, 0,2А IP 66/67")</f>
        <v>1,5Вт, 30В, 0,2А IP 66/67</v>
      </c>
      <c r="C669" s="9">
        <f ca="1">IFERROR(__xludf.DUMMYFUNCTION("""COMPUTED_VALUE"""),5627.0566)</f>
        <v>5627.0565999999999</v>
      </c>
      <c r="D669" s="6"/>
      <c r="E669" s="8"/>
    </row>
    <row r="670" spans="1:5" ht="38.25">
      <c r="A670" s="5" t="str">
        <f ca="1">IFERROR(__xludf.DUMMYFUNCTION("""COMPUTED_VALUE"""),"ИП 535-50-B «СЕВЕР» (с дополнительным переключающим герконом, расширяющим функциональные возможности извещателя) ПАШК.42511.126ПС")</f>
        <v>ИП 535-50-B «СЕВЕР» (с дополнительным переключающим герконом, расширяющим функциональные возможности извещателя) ПАШК.42511.126ПС</v>
      </c>
      <c r="B670" s="6" t="str">
        <f ca="1">IFERROR(__xludf.DUMMYFUNCTION("""COMPUTED_VALUE"""),"1,5Вт, 30В, 0,2А IP 66/67")</f>
        <v>1,5Вт, 30В, 0,2А IP 66/67</v>
      </c>
      <c r="C670" s="9">
        <f ca="1">IFERROR(__xludf.DUMMYFUNCTION("""COMPUTED_VALUE"""),5778.5123)</f>
        <v>5778.5123000000003</v>
      </c>
      <c r="D670" s="6"/>
      <c r="E670" s="8"/>
    </row>
    <row r="671" spans="1:5" ht="38.25">
      <c r="A671" s="5" t="str">
        <f ca="1">IFERROR(__xludf.DUMMYFUNCTION("""COMPUTED_VALUE"""),"ИП 535-50-A «СЕВЕР» (со встроенной адресной меткой Болид С2000-АР-1 исп.01) ПАШК.42511.126ПС")</f>
        <v>ИП 535-50-A «СЕВЕР» (со встроенной адресной меткой Болид С2000-АР-1 исп.01) ПАШК.42511.126ПС</v>
      </c>
      <c r="B671"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1" s="9">
        <f ca="1">IFERROR(__xludf.DUMMYFUNCTION("""COMPUTED_VALUE"""),7483.1724)</f>
        <v>7483.1724000000004</v>
      </c>
      <c r="D671" s="6"/>
      <c r="E671" s="8"/>
    </row>
    <row r="672" spans="1:5" ht="38.25">
      <c r="A672" s="5" t="str">
        <f ca="1">IFERROR(__xludf.DUMMYFUNCTION("""COMPUTED_VALUE"""),"ИП 535-50-A «СЕВЕР» (со встроенной адресной меткой Болид С2000-АР-1 исп.02) ПАШК.42511.126ПС")</f>
        <v>ИП 535-50-A «СЕВЕР» (со встроенной адресной меткой Болид С2000-АР-1 исп.02) ПАШК.42511.126ПС</v>
      </c>
      <c r="B672"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2" s="9">
        <f ca="1">IFERROR(__xludf.DUMMYFUNCTION("""COMPUTED_VALUE"""),7483.1724)</f>
        <v>7483.1724000000004</v>
      </c>
      <c r="D672" s="6"/>
      <c r="E672" s="8"/>
    </row>
    <row r="673" spans="1:5" ht="38.25">
      <c r="A673" s="5" t="str">
        <f ca="1">IFERROR(__xludf.DUMMYFUNCTION("""COMPUTED_VALUE"""),"ИП 535-50-B «СЕВЕР» (со встроенной адресной меткой Болид С2000-АР-1 исп.01) ПАШК.42511.126ПС")</f>
        <v>ИП 535-50-B «СЕВЕР» (со встроенной адресной меткой Болид С2000-АР-1 исп.01) ПАШК.42511.126ПС</v>
      </c>
      <c r="B673"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3" s="9">
        <f ca="1">IFERROR(__xludf.DUMMYFUNCTION("""COMPUTED_VALUE"""),7627.6464)</f>
        <v>7627.6463999999996</v>
      </c>
      <c r="D673" s="6"/>
      <c r="E673" s="8"/>
    </row>
    <row r="674" spans="1:5" ht="38.25">
      <c r="A674" s="10" t="str">
        <f ca="1">IFERROR(__xludf.DUMMYFUNCTION("""COMPUTED_VALUE"""),"ИП 535-50-B «СЕВЕР» (со встроенной адресной меткой Болид С2000-АР-1 исп.02) ПАШК.42511.126ПС")</f>
        <v>ИП 535-50-B «СЕВЕР» (со встроенной адресной меткой Болид С2000-АР-1 исп.02) ПАШК.42511.126ПС</v>
      </c>
      <c r="B674"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4" s="9">
        <f ca="1">IFERROR(__xludf.DUMMYFUNCTION("""COMPUTED_VALUE"""),7627.6464)</f>
        <v>7627.6463999999996</v>
      </c>
      <c r="D674" s="6"/>
      <c r="E674" s="8"/>
    </row>
    <row r="675" spans="1:5" ht="25.5">
      <c r="A675" s="5" t="str">
        <f ca="1">IFERROR(__xludf.DUMMYFUNCTION("""COMPUTED_VALUE"""),"УДП 535-26 «Север» (без вводов, глухая коробка) Новый корпус")</f>
        <v>УДП 535-26 «Север» (без вводов, глухая коробка) Новый корпус</v>
      </c>
      <c r="B675" s="6"/>
      <c r="C675" s="9">
        <f ca="1">IFERROR(__xludf.DUMMYFUNCTION("""COMPUTED_VALUE"""),5164.28)</f>
        <v>5164.28</v>
      </c>
      <c r="D675" s="6"/>
      <c r="E675" s="8"/>
    </row>
    <row r="676" spans="1:5" ht="25.5">
      <c r="A676" s="5" t="str">
        <f ca="1">IFERROR(__xludf.DUMMYFUNCTION("""COMPUTED_VALUE"""),"УДП 535-26 ""СЕВЕР"" ПАШК.425211.127ПС (Пластиковый ввод 6-12 мм) Новый корпус")</f>
        <v>УДП 535-26 "СЕВЕР" ПАШК.425211.127ПС (Пластиковый ввод 6-12 мм) Новый корпус</v>
      </c>
      <c r="B676" s="6" t="str">
        <f ca="1">IFERROR(__xludf.DUMMYFUNCTION("""COMPUTED_VALUE"""),"Пластиковый ввод 6-12 мм. IP 66/67")</f>
        <v>Пластиковый ввод 6-12 мм. IP 66/67</v>
      </c>
      <c r="C676" s="9">
        <f ca="1">IFERROR(__xludf.DUMMYFUNCTION("""COMPUTED_VALUE"""),5304.4343)</f>
        <v>5304.4342999999999</v>
      </c>
      <c r="D676" s="6"/>
      <c r="E676" s="8"/>
    </row>
    <row r="677" spans="1:5" ht="25.5">
      <c r="A677" s="5" t="str">
        <f ca="1">IFERROR(__xludf.DUMMYFUNCTION("""COMPUTED_VALUE"""),"УДП 535-26 ""СЕВЕР"" ПАШК.425211.127ПС (Пластиковый ввод 11-17 мм) Новый корпус")</f>
        <v>УДП 535-26 "СЕВЕР" ПАШК.425211.127ПС (Пластиковый ввод 11-17 мм) Новый корпус</v>
      </c>
      <c r="B677" s="6" t="str">
        <f ca="1">IFERROR(__xludf.DUMMYFUNCTION("""COMPUTED_VALUE"""),"Пластиковый ввод 11-17 мм. IP 66/67")</f>
        <v>Пластиковый ввод 11-17 мм. IP 66/67</v>
      </c>
      <c r="C677" s="9">
        <f ca="1">IFERROR(__xludf.DUMMYFUNCTION("""COMPUTED_VALUE"""),5636.785)</f>
        <v>5636.7849999999999</v>
      </c>
      <c r="D677" s="6"/>
      <c r="E677" s="8"/>
    </row>
    <row r="678" spans="1:5" ht="25.5">
      <c r="A678" s="5" t="str">
        <f ca="1">IFERROR(__xludf.DUMMYFUNCTION("""COMPUTED_VALUE"""),"УДП 535-26 ""СЕВЕР"" ПАШК.425211.127ПС (Пластиковый ввод 13-18 мм) Новый корпус")</f>
        <v>УДП 535-26 "СЕВЕР" ПАШК.425211.127ПС (Пластиковый ввод 13-18 мм) Новый корпус</v>
      </c>
      <c r="B678" s="6" t="str">
        <f ca="1">IFERROR(__xludf.DUMMYFUNCTION("""COMPUTED_VALUE"""),"Пластиковый ввод 13-18 мм. IP 66/67")</f>
        <v>Пластиковый ввод 13-18 мм. IP 66/67</v>
      </c>
      <c r="C678" s="9">
        <f ca="1">IFERROR(__xludf.DUMMYFUNCTION("""COMPUTED_VALUE"""),5812.477)</f>
        <v>5812.4769999999999</v>
      </c>
      <c r="D678" s="6"/>
      <c r="E678" s="8"/>
    </row>
    <row r="679" spans="1:5" ht="12.75">
      <c r="A679" s="5" t="str">
        <f ca="1">IFERROR(__xludf.DUMMYFUNCTION("""COMPUTED_VALUE"""),"УДП 535-50 «Север» (без вводов, глухая коробка)")</f>
        <v>УДП 535-50 «Север» (без вводов, глухая коробка)</v>
      </c>
      <c r="B679" s="6"/>
      <c r="C679" s="9">
        <f ca="1">IFERROR(__xludf.DUMMYFUNCTION("""COMPUTED_VALUE"""),5164.28)</f>
        <v>5164.28</v>
      </c>
      <c r="D679" s="6"/>
      <c r="E679" s="8"/>
    </row>
    <row r="680" spans="1:5" ht="25.5">
      <c r="A680" s="5" t="str">
        <f ca="1">IFERROR(__xludf.DUMMYFUNCTION("""COMPUTED_VALUE"""),"УДП 535-50 ""СЕВЕР"" ПАШК.425211.127ПС (Пластиковый ввод 6-12 мм) ")</f>
        <v xml:space="preserve">УДП 535-50 "СЕВЕР" ПАШК.425211.127ПС (Пластиковый ввод 6-12 мм) </v>
      </c>
      <c r="B680" s="6" t="str">
        <f ca="1">IFERROR(__xludf.DUMMYFUNCTION("""COMPUTED_VALUE"""),"Пластиковый ввод 6-12 мм. IP 66/67")</f>
        <v>Пластиковый ввод 6-12 мм. IP 66/67</v>
      </c>
      <c r="C680" s="9">
        <f ca="1">IFERROR(__xludf.DUMMYFUNCTION("""COMPUTED_VALUE"""),5304.4343)</f>
        <v>5304.4342999999999</v>
      </c>
      <c r="D680" s="6"/>
      <c r="E680" s="8"/>
    </row>
    <row r="681" spans="1:5" ht="25.5">
      <c r="A681" s="5" t="str">
        <f ca="1">IFERROR(__xludf.DUMMYFUNCTION("""COMPUTED_VALUE"""),"УДП 535-50 ""СЕВЕР"" ПАШК.425211.127ПС (Пластиковый ввод 11-17 мм)")</f>
        <v>УДП 535-50 "СЕВЕР" ПАШК.425211.127ПС (Пластиковый ввод 11-17 мм)</v>
      </c>
      <c r="B681" s="6" t="str">
        <f ca="1">IFERROR(__xludf.DUMMYFUNCTION("""COMPUTED_VALUE"""),"Пластиковый ввод 11-17 мм. IP 66/67")</f>
        <v>Пластиковый ввод 11-17 мм. IP 66/67</v>
      </c>
      <c r="C681" s="9">
        <f ca="1">IFERROR(__xludf.DUMMYFUNCTION("""COMPUTED_VALUE"""),5636.785)</f>
        <v>5636.7849999999999</v>
      </c>
      <c r="D681" s="6"/>
      <c r="E681" s="8"/>
    </row>
    <row r="682" spans="1:5" ht="25.5">
      <c r="A682" s="5" t="str">
        <f ca="1">IFERROR(__xludf.DUMMYFUNCTION("""COMPUTED_VALUE"""),"УДП 535-50 ""СЕВЕР"" ПАШК.425211.127ПС (Пластиковый ввод 13-18 мм)")</f>
        <v>УДП 535-50 "СЕВЕР" ПАШК.425211.127ПС (Пластиковый ввод 13-18 мм)</v>
      </c>
      <c r="B682" s="6" t="str">
        <f ca="1">IFERROR(__xludf.DUMMYFUNCTION("""COMPUTED_VALUE"""),"Пластиковый ввод 13-18 мм. IP 66/67")</f>
        <v>Пластиковый ввод 13-18 мм. IP 66/67</v>
      </c>
      <c r="C682" s="9">
        <f ca="1">IFERROR(__xludf.DUMMYFUNCTION("""COMPUTED_VALUE"""),5812.477)</f>
        <v>5812.4769999999999</v>
      </c>
      <c r="D682" s="6"/>
      <c r="E682" s="8"/>
    </row>
    <row r="683" spans="1:5" ht="25.5">
      <c r="A683" s="5" t="str">
        <f ca="1">IFERROR(__xludf.DUMMYFUNCTION("""COMPUTED_VALUE"""),"УДП 535-50 ""СЕВЕР"" ПАШК.425211.127ПС (Ввод из нержавейки МКВМ М20К (открытая прокладка кабеля)")</f>
        <v>УДП 535-50 "СЕВЕР" ПАШК.425211.127ПС (Ввод из нержавейки МКВМ М20К (открытая прокладка кабеля)</v>
      </c>
      <c r="B683" s="6" t="str">
        <f ca="1">IFERROR(__xludf.DUMMYFUNCTION("""COMPUTED_VALUE"""),"Ввод из нержавейки МКВМ М20К (открытая прокладка кабеля) . IP 66/67")</f>
        <v>Ввод из нержавейки МКВМ М20К (открытая прокладка кабеля) . IP 66/67</v>
      </c>
      <c r="C683" s="11">
        <f ca="1">IFERROR(__xludf.DUMMYFUNCTION("""COMPUTED_VALUE"""),9420)</f>
        <v>9420</v>
      </c>
      <c r="D683" s="6"/>
      <c r="E683" s="8"/>
    </row>
    <row r="684" spans="1:5" ht="25.5">
      <c r="A684" s="5" t="str">
        <f ca="1">IFERROR(__xludf.DUMMYFUNCTION("""COMPUTED_VALUE"""),"УДП 535-50 ""СЕВЕР"" ПАШК.425211.127ПС (Ввод из нержавейки МКВМ М20Т1/2 (труба с резьбой G1/2))")</f>
        <v>УДП 535-50 "СЕВЕР" ПАШК.425211.127ПС (Ввод из нержавейки МКВМ М20Т1/2 (труба с резьбой G1/2))</v>
      </c>
      <c r="B684" s="6" t="str">
        <f ca="1">IFERROR(__xludf.DUMMYFUNCTION("""COMPUTED_VALUE"""),"Ввод из нержавейки МКВМ М20Т1/2 (труба с резьбой G1/2). IP 66/67")</f>
        <v>Ввод из нержавейки МКВМ М20Т1/2 (труба с резьбой G1/2). IP 66/67</v>
      </c>
      <c r="C684" s="11">
        <f ca="1">IFERROR(__xludf.DUMMYFUNCTION("""COMPUTED_VALUE"""),9420)</f>
        <v>9420</v>
      </c>
      <c r="D684" s="6"/>
      <c r="E684" s="8"/>
    </row>
    <row r="685" spans="1:5" ht="25.5">
      <c r="A685" s="5" t="str">
        <f ca="1">IFERROR(__xludf.DUMMYFUNCTION("""COMPUTED_VALUE"""),"УДП 535-50 ""СЕВЕР"" ПАШК.425211.127ПС (Ввод из нержавейки МКВМ М20Т3/4 (труба с резьбой G3/4))")</f>
        <v>УДП 535-50 "СЕВЕР" ПАШК.425211.127ПС (Ввод из нержавейки МКВМ М20Т3/4 (труба с резьбой G3/4))</v>
      </c>
      <c r="B685" s="6" t="str">
        <f ca="1">IFERROR(__xludf.DUMMYFUNCTION("""COMPUTED_VALUE"""),"Ввод из нержавейки МКВМ М20Т3/4 (труба с резьбой G3/4) . IP 66/67")</f>
        <v>Ввод из нержавейки МКВМ М20Т3/4 (труба с резьбой G3/4) . IP 66/67</v>
      </c>
      <c r="C685" s="11">
        <f ca="1">IFERROR(__xludf.DUMMYFUNCTION("""COMPUTED_VALUE"""),9420)</f>
        <v>9420</v>
      </c>
      <c r="D685" s="6"/>
      <c r="E685" s="8"/>
    </row>
    <row r="686" spans="1:5" ht="25.5">
      <c r="A686" s="5" t="str">
        <f ca="1">IFERROR(__xludf.DUMMYFUNCTION("""COMPUTED_VALUE"""),"УДП 535-50 ""СЕВЕР"" ПАШК.425211.127ПС (Ввод из нержавейки МКВМ М20КМ10 (металлорукав РЗЦ 10мм))")</f>
        <v>УДП 535-50 "СЕВЕР" ПАШК.425211.127ПС (Ввод из нержавейки МКВМ М20КМ10 (металлорукав РЗЦ 10мм))</v>
      </c>
      <c r="B686" s="6" t="str">
        <f ca="1">IFERROR(__xludf.DUMMYFUNCTION("""COMPUTED_VALUE"""),"Ввод из нержавейки МКВМ М20КМ10 (металлорукав РЗЦ 10мм). IP 66/67")</f>
        <v>Ввод из нержавейки МКВМ М20КМ10 (металлорукав РЗЦ 10мм). IP 66/67</v>
      </c>
      <c r="C686" s="11">
        <f ca="1">IFERROR(__xludf.DUMMYFUNCTION("""COMPUTED_VALUE"""),9879)</f>
        <v>9879</v>
      </c>
      <c r="D686" s="6"/>
      <c r="E686" s="8"/>
    </row>
    <row r="687" spans="1:5" ht="25.5">
      <c r="A687" s="5" t="str">
        <f ca="1">IFERROR(__xludf.DUMMYFUNCTION("""COMPUTED_VALUE"""),"УДП 535-50 ""СЕВЕР"" ПАШК.425211.127ПС (Ввод из нержавейки МКВМ М20КМ12 (металлорукав РЗЦ 12мм))")</f>
        <v>УДП 535-50 "СЕВЕР" ПАШК.425211.127ПС (Ввод из нержавейки МКВМ М20КМ12 (металлорукав РЗЦ 12мм))</v>
      </c>
      <c r="B687" s="6" t="str">
        <f ca="1">IFERROR(__xludf.DUMMYFUNCTION("""COMPUTED_VALUE"""),"Ввод из нержавейки МКВМ М20КМ12 (металлорукав РЗЦ 12мм). IP 66/67")</f>
        <v>Ввод из нержавейки МКВМ М20КМ12 (металлорукав РЗЦ 12мм). IP 66/67</v>
      </c>
      <c r="C687" s="11">
        <f ca="1">IFERROR(__xludf.DUMMYFUNCTION("""COMPUTED_VALUE"""),9879)</f>
        <v>9879</v>
      </c>
      <c r="D687" s="6"/>
      <c r="E687" s="8"/>
    </row>
    <row r="688" spans="1:5" ht="51">
      <c r="A688" s="5" t="str">
        <f ca="1">IFERROR(__xludf.DUMMYFUNCTION("""COMPUTED_VALUE"""),"УДП 535-50 ""СЕВЕР"" ПАШК.425211.127ПС (Ввод из нержавейки МКВМ М20КМ15 (Металлорукав РЗЦ 15мм)/ МКВМ М20КМ18 (Металлорукав РЗЦ 18мм))")</f>
        <v>УДП 535-50 "СЕВЕР" ПАШК.425211.127ПС (Ввод из нержавейки МКВМ М20КМ15 (Металлорукав РЗЦ 15мм)/ МКВМ М20КМ18 (Металлорукав РЗЦ 18мм))</v>
      </c>
      <c r="B688" s="6" t="str">
        <f ca="1">IFERROR(__xludf.DUMMYFUNCTION("""COMPUTED_VALUE"""),"Ввод из нержавейки МКВМ М20КМ15 (Металлорукав РЗЦ 15мм)/ МКВМ М20КМ20 (Металлорукав РЗЦ 20мм). IP 66/67")</f>
        <v>Ввод из нержавейки МКВМ М20КМ15 (Металлорукав РЗЦ 15мм)/ МКВМ М20КМ20 (Металлорукав РЗЦ 20мм). IP 66/67</v>
      </c>
      <c r="C688" s="11">
        <f ca="1">IFERROR(__xludf.DUMMYFUNCTION("""COMPUTED_VALUE"""),10338)</f>
        <v>10338</v>
      </c>
      <c r="D688" s="6"/>
      <c r="E688" s="8"/>
    </row>
    <row r="689" spans="1:5" ht="25.5">
      <c r="A689" s="5" t="str">
        <f ca="1">IFERROR(__xludf.DUMMYFUNCTION("""COMPUTED_VALUE"""),"УДП 535-50 ""СЕВЕР"" ПАШК.425211.127ПС (Ввод из нержавейки МКВМ М20В (Бронированный кабель))")</f>
        <v>УДП 535-50 "СЕВЕР" ПАШК.425211.127ПС (Ввод из нержавейки МКВМ М20В (Бронированный кабель))</v>
      </c>
      <c r="B689" s="6" t="str">
        <f ca="1">IFERROR(__xludf.DUMMYFUNCTION("""COMPUTED_VALUE"""),"Ввод из нержавейки МКВМ М20В (Бронированный кабель). IP 66/67")</f>
        <v>Ввод из нержавейки МКВМ М20В (Бронированный кабель). IP 66/67</v>
      </c>
      <c r="C689" s="11">
        <f ca="1">IFERROR(__xludf.DUMMYFUNCTION("""COMPUTED_VALUE"""),10338)</f>
        <v>10338</v>
      </c>
      <c r="D689" s="6"/>
      <c r="E689" s="8"/>
    </row>
    <row r="690" spans="1:5" ht="38.25">
      <c r="A690" s="5" t="str">
        <f ca="1">IFERROR(__xludf.DUMMYFUNCTION("""COMPUTED_VALUE"""),"УДП 535-50 ""СЕВЕР"" ПАШК.425211.127ПС (Ввод из нержавейки МКВ М20В2 (Бронированный кабель с двойным уплотнением))")</f>
        <v>УДП 535-50 "СЕВЕР" ПАШК.425211.127ПС (Ввод из нержавейки МКВ М20В2 (Бронированный кабель с двойным уплотнением))</v>
      </c>
      <c r="B690" s="6" t="str">
        <f ca="1">IFERROR(__xludf.DUMMYFUNCTION("""COMPUTED_VALUE"""),"Ввод из нержавейки МКВМ М20В2 (Бронированный кабель с двойным уплотнением). IP 66/67")</f>
        <v>Ввод из нержавейки МКВМ М20В2 (Бронированный кабель с двойным уплотнением). IP 66/67</v>
      </c>
      <c r="C690" s="11">
        <f ca="1">IFERROR(__xludf.DUMMYFUNCTION("""COMPUTED_VALUE"""),10338)</f>
        <v>10338</v>
      </c>
      <c r="D690" s="6"/>
      <c r="E690" s="8"/>
    </row>
    <row r="691" spans="1:5" ht="38.25">
      <c r="A691" s="5" t="str">
        <f ca="1">IFERROR(__xludf.DUMMYFUNCTION("""COMPUTED_VALUE"""),"УДП 535-50 ""СЕВЕР"" с МКВМ М25 (К, В, В2, T3/4, КМ8, КМ10, КМ12, КМ15, КМ18,КМ20)")</f>
        <v>УДП 535-50 "СЕВЕР" с МКВМ М25 (К, В, В2, T3/4, КМ8, КМ10, КМ12, КМ15, КМ18,КМ20)</v>
      </c>
      <c r="B691" s="6" t="str">
        <f ca="1">IFERROR(__xludf.DUMMYFUNCTION("""COMPUTED_VALUE"""),"Ввод из нержавейки МКВМ М25 (К, В, В2, T3/4, КМ8, КМ10, КМ12, КМ15, КМ18,КМ20). IP 66/67")</f>
        <v>Ввод из нержавейки МКВМ М25 (К, В, В2, T3/4, КМ8, КМ10, КМ12, КМ15, КМ18,КМ20). IP 66/67</v>
      </c>
      <c r="C691" s="11">
        <f ca="1">IFERROR(__xludf.DUMMYFUNCTION("""COMPUTED_VALUE"""),22644)</f>
        <v>22644</v>
      </c>
      <c r="D691" s="6"/>
      <c r="E691" s="8"/>
    </row>
    <row r="692" spans="1:5" ht="38.25">
      <c r="A692" s="5" t="str">
        <f ca="1">IFERROR(__xludf.DUMMYFUNCTION("""COMPUTED_VALUE"""),"УДП 535-50 ""СЕВЕР"" (со встроенной адресной меткой Болид С2000-АР-1 исп.01) ПАШК.42511.126ПС")</f>
        <v>УДП 535-50 "СЕВЕР" (со встроенной адресной меткой Болид С2000-АР-1 исп.01) ПАШК.42511.126ПС</v>
      </c>
      <c r="B692"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92" s="9">
        <f ca="1">IFERROR(__xludf.DUMMYFUNCTION("""COMPUTED_VALUE"""),7483.1724)</f>
        <v>7483.1724000000004</v>
      </c>
      <c r="D692" s="6"/>
      <c r="E692" s="8"/>
    </row>
    <row r="693" spans="1:5" ht="38.25">
      <c r="A693" s="5" t="str">
        <f ca="1">IFERROR(__xludf.DUMMYFUNCTION("""COMPUTED_VALUE"""),"УДП 535-50 ""СЕВЕР"" (со встроенной адресной меткой Болид С2000-АР-1 исп.02) ПАШК.42511.126ПС")</f>
        <v>УДП 535-50 "СЕВЕР" (со встроенной адресной меткой Болид С2000-АР-1 исп.02) ПАШК.42511.126ПС</v>
      </c>
      <c r="B693"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93" s="9">
        <f ca="1">IFERROR(__xludf.DUMMYFUNCTION("""COMPUTED_VALUE"""),7483.1724)</f>
        <v>7483.1724000000004</v>
      </c>
      <c r="D693" s="6"/>
      <c r="E693" s="8"/>
    </row>
    <row r="694" spans="1:5" ht="76.5">
      <c r="A694" s="5" t="str">
        <f ca="1">IFERROR(__xludf.DUMMYFUNCTION("""COMPUTED_VALUE"""),"УДП 535-50 «СЕВЕР» 0Ex iа IIС Т6 Gа Х ПАШК.425211.127ПС (Пластиковый ввод 6-12 мм)")</f>
        <v>УДП 535-50 «СЕВЕР» 0Ex iа IIС Т6 Gа Х ПАШК.425211.127ПС (Пластиковый ввод 6-12 мм)</v>
      </c>
      <c r="B69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v>
      </c>
      <c r="C694" s="9">
        <f ca="1">IFERROR(__xludf.DUMMYFUNCTION("""COMPUTED_VALUE"""),7346.8538)</f>
        <v>7346.8537999999999</v>
      </c>
      <c r="D694" s="6"/>
      <c r="E694" s="8"/>
    </row>
    <row r="695" spans="1:5" ht="76.5">
      <c r="A695" s="5" t="str">
        <f ca="1">IFERROR(__xludf.DUMMYFUNCTION("""COMPUTED_VALUE"""),"УДП 535-50 «СЕВЕР» 0Ex iа IIС Т6 Gа Х ПАШК.425211.127ПС (Пластиковый ввод 11-17 мм)")</f>
        <v>УДП 535-50 «СЕВЕР» 0Ex iа IIС Т6 Gа Х ПАШК.425211.127ПС (Пластиковый ввод 11-17 мм)</v>
      </c>
      <c r="B69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v>
      </c>
      <c r="C695" s="9">
        <f ca="1">IFERROR(__xludf.DUMMYFUNCTION("""COMPUTED_VALUE"""),7686.525)</f>
        <v>7686.5249999999996</v>
      </c>
      <c r="D695" s="6"/>
      <c r="E695" s="8"/>
    </row>
    <row r="696" spans="1:5" ht="76.5">
      <c r="A696" s="5" t="str">
        <f ca="1">IFERROR(__xludf.DUMMYFUNCTION("""COMPUTED_VALUE"""),"УДП 535-50 «СЕВЕР» 0Ex iа IIС Т6 Gа Х ПАШК.425211.127ПС (Пластиковый ввод 13-18 мм)")</f>
        <v>УДП 535-50 «СЕВЕР» 0Ex iа IIС Т6 Gа Х ПАШК.425211.127ПС (Пластиковый ввод 13-18 мм)</v>
      </c>
      <c r="B69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v>
      </c>
      <c r="C696" s="9">
        <f ca="1">IFERROR(__xludf.DUMMYFUNCTION("""COMPUTED_VALUE"""),7862.217)</f>
        <v>7862.2169999999996</v>
      </c>
      <c r="D696" s="6"/>
      <c r="E696" s="8"/>
    </row>
    <row r="697" spans="1:5" ht="89.25">
      <c r="A697" s="5" t="str">
        <f ca="1">IFERROR(__xludf.DUMMYFUNCTION("""COMPUTED_VALUE"""),"УДП 535-50 «СЕВЕР» 0Ex iа IIС Т6 Gа Х ПАШК.425211.127ПС (Ввод из нержавейки МКВМ М20К (открытая прокладка кабеля))")</f>
        <v>УДП 535-50 «СЕВЕР» 0Ex iа IIС Т6 Gа Х ПАШК.425211.127ПС (Ввод из нержавейки МКВМ М20К (открытая прокладка кабеля))</v>
      </c>
      <c r="B69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v>
      </c>
      <c r="C697" s="11">
        <f ca="1">IFERROR(__xludf.DUMMYFUNCTION("""COMPUTED_VALUE"""),11276)</f>
        <v>11276</v>
      </c>
      <c r="D697" s="6"/>
      <c r="E697" s="8"/>
    </row>
    <row r="698" spans="1:5" ht="76.5">
      <c r="A698" s="5" t="str">
        <f ca="1">IFERROR(__xludf.DUMMYFUNCTION("""COMPUTED_VALUE"""),"УДП 535-50 «СЕВЕР» 0Ex iа IIС Т6 Gа Х ПАШК.425211.127ПС (Ввод из нержавейки МКВМ М20Т1/2 (труба с резьбой G1/2))")</f>
        <v>УДП 535-50 «СЕВЕР» 0Ex iа IIС Т6 Gа Х ПАШК.425211.127ПС (Ввод из нержавейки МКВМ М20Т1/2 (труба с резьбой G1/2))</v>
      </c>
      <c r="B69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v>
      </c>
      <c r="C698" s="11">
        <f ca="1">IFERROR(__xludf.DUMMYFUNCTION("""COMPUTED_VALUE"""),11276)</f>
        <v>11276</v>
      </c>
      <c r="D698" s="6"/>
      <c r="E698" s="8"/>
    </row>
    <row r="699" spans="1:5" ht="89.25">
      <c r="A699" s="5" t="str">
        <f ca="1">IFERROR(__xludf.DUMMYFUNCTION("""COMPUTED_VALUE"""),"УДП 535-50 «СЕВЕР» 0Ex iа IIС Т6 Gа Х ПАШК.425211.127ПС (Ввод из нержавейки МКВМ М20Т3/4 (труба с резьбой G3/4))")</f>
        <v>УДП 535-50 «СЕВЕР» 0Ex iа IIС Т6 Gа Х ПАШК.425211.127ПС (Ввод из нержавейки МКВМ М20Т3/4 (труба с резьбой G3/4))</v>
      </c>
      <c r="B69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v>
      </c>
      <c r="C699" s="11">
        <f ca="1">IFERROR(__xludf.DUMMYFUNCTION("""COMPUTED_VALUE"""),11276)</f>
        <v>11276</v>
      </c>
      <c r="D699" s="6"/>
      <c r="E699" s="8"/>
    </row>
    <row r="700" spans="1:5" ht="89.25">
      <c r="A700" s="5" t="str">
        <f ca="1">IFERROR(__xludf.DUMMYFUNCTION("""COMPUTED_VALUE"""),"УДП 535-50 «СЕВЕР» 0Ex iа IIС Т6 Gа Х ПАШК.425211.127ПС (Ввод из нержавейки МКВМ М20КМ10 (металлорукав РЗЦ 10мм))")</f>
        <v>УДП 535-50 «СЕВЕР» 0Ex iа IIС Т6 Gа Х ПАШК.425211.127ПС (Ввод из нержавейки МКВМ М20КМ10 (металлорукав РЗЦ 10мм))</v>
      </c>
      <c r="B700"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v>
      </c>
      <c r="C700" s="11">
        <f ca="1">IFERROR(__xludf.DUMMYFUNCTION("""COMPUTED_VALUE"""),11735)</f>
        <v>11735</v>
      </c>
      <c r="D700" s="6"/>
      <c r="E700" s="8"/>
    </row>
    <row r="701" spans="1:5" ht="89.25">
      <c r="A701" s="5" t="str">
        <f ca="1">IFERROR(__xludf.DUMMYFUNCTION("""COMPUTED_VALUE"""),"УДП 535-50 «СЕВЕР» 0Ex iа IIС Т6 Gа Х ПАШК.425211.127ПС ( Ввод из нержавейки МКВМ М20КМ12 (металлорукав РЗЦ 12мм))")</f>
        <v>УДП 535-50 «СЕВЕР» 0Ex iа IIС Т6 Gа Х ПАШК.425211.127ПС ( Ввод из нержавейки МКВМ М20КМ12 (металлорукав РЗЦ 12мм))</v>
      </c>
      <c r="B701"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v>
      </c>
      <c r="C701" s="11">
        <f ca="1">IFERROR(__xludf.DUMMYFUNCTION("""COMPUTED_VALUE"""),11735)</f>
        <v>11735</v>
      </c>
      <c r="D701" s="6"/>
      <c r="E701" s="8"/>
    </row>
    <row r="702" spans="1:5" ht="102">
      <c r="A702" s="5" t="str">
        <f ca="1">IFERROR(__xludf.DUMMYFUNCTION("""COMPUTED_VALUE"""),"УДП 535-50 «СЕВЕР» 0Ex iа IIС Т6 Gа Х ПАШК.425211.127ПС (Ввод из нержавейки МКВМ М20КМ15 (Металлорукав РЗЦ 15мм)/ МКВМ М20КМ18 (Металлорукав РЗЦ 18мм))")</f>
        <v>УДП 535-50 «СЕВЕР» 0Ex iа IIС Т6 Gа Х ПАШК.425211.127ПС (Ввод из нержавейки МКВМ М20КМ15 (Металлорукав РЗЦ 15мм)/ МКВМ М20КМ18 (Металлорукав РЗЦ 18мм))</v>
      </c>
      <c r="B70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v>
      </c>
      <c r="C702" s="11">
        <f ca="1">IFERROR(__xludf.DUMMYFUNCTION("""COMPUTED_VALUE"""),12195)</f>
        <v>12195</v>
      </c>
      <c r="D702" s="6"/>
      <c r="E702" s="8"/>
    </row>
    <row r="703" spans="1:5" ht="76.5">
      <c r="A703" s="5" t="str">
        <f ca="1">IFERROR(__xludf.DUMMYFUNCTION("""COMPUTED_VALUE"""),"УДП 535-50 «СЕВЕР» 0Ex iа IIС Т6 Gа Х ПАШК.425211.127ПС (Ввод из нержавейки МКВМ М20В (Бронированный кабель))")</f>
        <v>УДП 535-50 «СЕВЕР» 0Ex iа IIС Т6 Gа Х ПАШК.425211.127ПС (Ввод из нержавейки МКВМ М20В (Бронированный кабель))</v>
      </c>
      <c r="B70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v>
      </c>
      <c r="C703" s="11">
        <f ca="1">IFERROR(__xludf.DUMMYFUNCTION("""COMPUTED_VALUE"""),12195)</f>
        <v>12195</v>
      </c>
      <c r="D703" s="6"/>
      <c r="E703" s="8"/>
    </row>
    <row r="704" spans="1:5" ht="89.25">
      <c r="A704" s="5" t="str">
        <f ca="1">IFERROR(__xludf.DUMMYFUNCTION("""COMPUTED_VALUE"""),"УДП 535-50 «СЕВЕР» 0Ex iа IIС Т6 Gа Х ПАШК.425211.127ПС (Ввод из нержавейки МКВМ М20В2 (Бронированный кабель с двойным уплотнением))")</f>
        <v>УДП 535-50 «СЕВЕР» 0Ex iа IIС Т6 Gа Х ПАШК.425211.127ПС (Ввод из нержавейки МКВМ М20В2 (Бронированный кабель с двойным уплотнением))</v>
      </c>
      <c r="B70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v>
      </c>
      <c r="C704" s="11">
        <f ca="1">IFERROR(__xludf.DUMMYFUNCTION("""COMPUTED_VALUE"""),12195)</f>
        <v>12195</v>
      </c>
      <c r="D704" s="6"/>
      <c r="E704" s="8"/>
    </row>
    <row r="705" spans="1:5" ht="89.25">
      <c r="A705" s="5" t="str">
        <f ca="1">IFERROR(__xludf.DUMMYFUNCTION("""COMPUTED_VALUE"""),"УДП 535-50 «СЕВЕР» 0Ex iа IIС Т6 Gа Х с МКВМ М25 (К, В, В2, T3/4, КМ8, КМ10, КМ12, КМ15, КМ18,КМ20)")</f>
        <v>УДП 535-50 «СЕВЕР» 0Ex iа IIС Т6 Gа Х с МКВМ М25 (К, В, В2, T3/4, КМ8, КМ10, КМ12, КМ15, КМ18,КМ20)</v>
      </c>
      <c r="B70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v>
      </c>
      <c r="C705" s="11">
        <f ca="1">IFERROR(__xludf.DUMMYFUNCTION("""COMPUTED_VALUE"""),24475)</f>
        <v>24475</v>
      </c>
      <c r="D705" s="6"/>
      <c r="E705" s="8"/>
    </row>
    <row r="706" spans="1:5" ht="38.25">
      <c r="A706" s="5" t="str">
        <f ca="1">IFERROR(__xludf.DUMMYFUNCTION("""COMPUTED_VALUE"""),"К-04 (нержавейка Ех) 170х100х100")</f>
        <v>К-04 (нержавейка Ех) 170х100х100</v>
      </c>
      <c r="B706" s="6" t="str">
        <f ca="1">IFERROR(__xludf.DUMMYFUNCTION("""COMPUTED_VALUE"""),"Для защиты от механического повреждения и осадков. Из нержавеющей стали толщиной 0,5 мм.")</f>
        <v>Для защиты от механического повреждения и осадков. Из нержавеющей стали толщиной 0,5 мм.</v>
      </c>
      <c r="C706" s="9">
        <f ca="1">IFERROR(__xludf.DUMMYFUNCTION("""COMPUTED_VALUE"""),1447.16)</f>
        <v>1447.16</v>
      </c>
      <c r="D706" s="6"/>
      <c r="E706" s="8"/>
    </row>
    <row r="707" spans="1:5" ht="63.75">
      <c r="A707" s="5" t="str">
        <f ca="1">IFERROR(__xludf.DUMMYFUNCTION("""COMPUTED_VALUE"""),"К-04 (S) 170х100х100")</f>
        <v>К-04 (S) 170х100х100</v>
      </c>
      <c r="B707" s="6" t="str">
        <f ca="1">IFERROR(__xludf.DUMMYFUNCTION("""COMPUTED_VALUE"""),"Для защиты от механического повреждения и осадков. Из стали Ст-3 толщиной 1 мм. Цвет – красный, желтый, оранжевый, зеленый (определяется при заказе).")</f>
        <v>Для защиты от механического повреждения и осадков. Из стали Ст-3 толщиной 1 мм. Цвет – красный, желтый, оранжевый, зеленый (определяется при заказе).</v>
      </c>
      <c r="C707" s="9">
        <f ca="1">IFERROR(__xludf.DUMMYFUNCTION("""COMPUTED_VALUE"""),1447.16)</f>
        <v>1447.16</v>
      </c>
      <c r="D707" s="6"/>
      <c r="E707" s="8"/>
    </row>
    <row r="708" spans="1:5" ht="89.25">
      <c r="A708" s="5" t="str">
        <f ca="1">IFERROR(__xludf.DUMMYFUNCTION("""COMPUTED_VALUE"""),"ДПМГ-26Ех-40 0Ex ia IIC T6 Ga/РО Ex ia I Ma ПАШК.425119.120 ТУ")</f>
        <v>ДПМГ-26Ех-40 0Ex ia IIC T6 Ga/РО Ex ia I Ma ПАШК.425119.120 ТУ</v>
      </c>
      <c r="B708" s="6" t="str">
        <f ca="1">IFERROR(__xludf.DUMMYFUNCTION("""COMPUTED_VALUE"""),"Контакты датчика гарантированно замыкаются при расстоянии между датчиком и магнитом 40 мм и гарантированно разомкнуты на расстоянии 100 мм. Габаритные размеры блока геркона 160х55х52 мм, блока магнитов 150х70х38 мм.")</f>
        <v>Контакты датчика гарантированно замыкаются при расстоянии между датчиком и магнитом 40 мм и гарантированно разомкнуты на расстоянии 100 мм. Габаритные размеры блока геркона 160х55х52 мм, блока магнитов 150х70х38 мм.</v>
      </c>
      <c r="C708" s="9">
        <f ca="1">IFERROR(__xludf.DUMMYFUNCTION("""COMPUTED_VALUE"""),6592)</f>
        <v>6592</v>
      </c>
      <c r="D708" s="6"/>
      <c r="E708" s="8"/>
    </row>
    <row r="709" spans="1:5" ht="89.25">
      <c r="A709" s="5" t="str">
        <f ca="1">IFERROR(__xludf.DUMMYFUNCTION("""COMPUTED_VALUE"""),"ДПМГ-26Ех-100 0Ex ia IIC T6 Ga/РО Ex ia I Ma ПАШК.425119.120 ТУ")</f>
        <v>ДПМГ-26Ех-100 0Ex ia IIC T6 Ga/РО Ex ia I Ma ПАШК.425119.120 ТУ</v>
      </c>
      <c r="B709" s="6" t="str">
        <f ca="1">IFERROR(__xludf.DUMMYFUNCTION("""COMPUTED_VALUE"""),"Контакты датчика гарантированно замыкаются при расстоянии между датчиком и магнитом 100 мм и гарантированно разомкнуты на расстоянии 160 мм.Габаритные размеры блока геркона 160х55х52 мм, блока магнитов 150х70х38 мм")</f>
        <v>Контакты датчика гарантированно замыкаются при расстоянии между датчиком и магнитом 100 мм и гарантированно разомкнуты на расстоянии 160 мм.Габаритные размеры блока геркона 160х55х52 мм, блока магнитов 150х70х38 мм</v>
      </c>
      <c r="C709" s="9">
        <f ca="1">IFERROR(__xludf.DUMMYFUNCTION("""COMPUTED_VALUE"""),7008)</f>
        <v>7008</v>
      </c>
      <c r="D709" s="6"/>
      <c r="E709" s="8"/>
    </row>
    <row r="710" spans="1:5" ht="89.25">
      <c r="A710" s="5" t="str">
        <f ca="1">IFERROR(__xludf.DUMMYFUNCTION("""COMPUTED_VALUE"""),"ДПМГ-26Ех-200 0Ex ia IIC T6 Ga/РО Ex ia I Ma ПАШК.425119.120 ТУ")</f>
        <v>ДПМГ-26Ех-200 0Ex ia IIC T6 Ga/РО Ex ia I Ma ПАШК.425119.120 ТУ</v>
      </c>
      <c r="B710" s="6" t="str">
        <f ca="1">IFERROR(__xludf.DUMMYFUNCTION("""COMPUTED_VALUE"""),"Контакты датчика гарантированно замыкаются при расстоянии между датчиком и магнитом 200 мм и гарантированно разомкнуты на расстоянии 260 мм.Габаритные размеры блока геркона 160х55х52 мм, блока магнитов 287х100х41,5мм.")</f>
        <v>Контакты датчика гарантированно замыкаются при расстоянии между датчиком и магнитом 200 мм и гарантированно разомкнуты на расстоянии 260 мм.Габаритные размеры блока геркона 160х55х52 мм, блока магнитов 287х100х41,5мм.</v>
      </c>
      <c r="C710" s="9">
        <f ca="1">IFERROR(__xludf.DUMMYFUNCTION("""COMPUTED_VALUE"""),8337)</f>
        <v>8337</v>
      </c>
      <c r="D710" s="6"/>
      <c r="E710" s="8"/>
    </row>
    <row r="711" spans="1:5" ht="63.75">
      <c r="A711" s="5" t="str">
        <f ca="1">IFERROR(__xludf.DUMMYFUNCTION("""COMPUTED_VALUE"""),"ИО 102-53 - 40 ПАШК.425119.124ПС")</f>
        <v>ИО 102-53 - 40 ПАШК.425119.124ПС</v>
      </c>
      <c r="B711" s="6" t="str">
        <f ca="1">IFERROR(__xludf.DUMMYFUNCTION("""COMPUTED_VALUE"""),"Контакты датчика гарантированно замыкаются при расстоянии между датчиком и магнитом 40 мм и гарантированно разомкнуты на расстоянии 100 мм. IP68")</f>
        <v>Контакты датчика гарантированно замыкаются при расстоянии между датчиком и магнитом 40 мм и гарантированно разомкнуты на расстоянии 100 мм. IP68</v>
      </c>
      <c r="C711" s="9">
        <f ca="1">IFERROR(__xludf.DUMMYFUNCTION("""COMPUTED_VALUE"""),6167)</f>
        <v>6167</v>
      </c>
      <c r="D711" s="6"/>
      <c r="E711" s="8"/>
    </row>
    <row r="712" spans="1:5" ht="63.75">
      <c r="A712" s="5" t="str">
        <f ca="1">IFERROR(__xludf.DUMMYFUNCTION("""COMPUTED_VALUE"""),"ИО 102-53 - 100 ПАШК.425119.124ПС")</f>
        <v>ИО 102-53 - 100 ПАШК.425119.124ПС</v>
      </c>
      <c r="B712" s="6" t="str">
        <f ca="1">IFERROR(__xludf.DUMMYFUNCTION("""COMPUTED_VALUE"""),"Контакты датчика гарантированно замыкаются при расстоянии между датчиком и магнитом 100 мм и гарантированно разомкнуты на расстоянии 160 мм. IP68")</f>
        <v>Контакты датчика гарантированно замыкаются при расстоянии между датчиком и магнитом 100 мм и гарантированно разомкнуты на расстоянии 160 мм. IP68</v>
      </c>
      <c r="C712" s="9">
        <f ca="1">IFERROR(__xludf.DUMMYFUNCTION("""COMPUTED_VALUE"""),7100)</f>
        <v>7100</v>
      </c>
      <c r="D712" s="6"/>
      <c r="E712" s="8"/>
    </row>
    <row r="713" spans="1:5" ht="63.75">
      <c r="A713" s="5" t="str">
        <f ca="1">IFERROR(__xludf.DUMMYFUNCTION("""COMPUTED_VALUE"""),"ИО 102-53 - 200 ПАШК.425119.124ПС")</f>
        <v>ИО 102-53 - 200 ПАШК.425119.124ПС</v>
      </c>
      <c r="B713" s="6" t="str">
        <f ca="1">IFERROR(__xludf.DUMMYFUNCTION("""COMPUTED_VALUE"""),"Контакты датчика гарантированно замыкаются при расстоянии между датчиком и магнитом 200 мм и гарантированно разомкнуты на расстоянии 260 мм. IP68")</f>
        <v>Контакты датчика гарантированно замыкаются при расстоянии между датчиком и магнитом 200 мм и гарантированно разомкнуты на расстоянии 260 мм. IP68</v>
      </c>
      <c r="C713" s="9">
        <f ca="1">IFERROR(__xludf.DUMMYFUNCTION("""COMPUTED_VALUE"""),7503)</f>
        <v>7503</v>
      </c>
      <c r="D713" s="6"/>
      <c r="E713" s="8"/>
    </row>
    <row r="714" spans="1:5" ht="51">
      <c r="A714" s="5" t="str">
        <f ca="1">IFERROR(__xludf.DUMMYFUNCTION("""COMPUTED_VALUE"""),"К-02 АЯКС (S)")</f>
        <v>К-02 АЯКС (S)</v>
      </c>
      <c r="B714" s="6" t="str">
        <f ca="1">IFERROR(__xludf.DUMMYFUNCTION("""COMPUTED_VALUE"""),"для монтажа магнитов ИО 102-53, ДПМГ-26Ех к подвижным поверхностям охраняемых конструкций. Сталь с защитным покрытием")</f>
        <v>для монтажа магнитов ИО 102-53, ДПМГ-26Ех к подвижным поверхностям охраняемых конструкций. Сталь с защитным покрытием</v>
      </c>
      <c r="C714" s="9">
        <f ca="1">IFERROR(__xludf.DUMMYFUNCTION("""COMPUTED_VALUE"""),711.843)</f>
        <v>711.84299999999996</v>
      </c>
      <c r="D714" s="6"/>
      <c r="E714" s="8"/>
    </row>
    <row r="715" spans="1:5" ht="51">
      <c r="A715" s="5" t="str">
        <f ca="1">IFERROR(__xludf.DUMMYFUNCTION("""COMPUTED_VALUE"""),"К-02 АЯКС (Нержавейка-Ех)")</f>
        <v>К-02 АЯКС (Нержавейка-Ех)</v>
      </c>
      <c r="B715" s="6" t="str">
        <f ca="1">IFERROR(__xludf.DUMMYFUNCTION("""COMPUTED_VALUE"""),"для монтажа магнитов ИО 102-53, ДПМГ-26Ех к подвижным поверхностям охраняемых конструкций. Из нержавеющей стали")</f>
        <v>для монтажа магнитов ИО 102-53, ДПМГ-26Ех к подвижным поверхностям охраняемых конструкций. Из нержавеющей стали</v>
      </c>
      <c r="C715" s="9">
        <f ca="1">IFERROR(__xludf.DUMMYFUNCTION("""COMPUTED_VALUE"""),1549.3082)</f>
        <v>1549.3081999999999</v>
      </c>
      <c r="D715" s="6"/>
      <c r="E715" s="8"/>
    </row>
    <row r="716" spans="1:5" ht="51">
      <c r="A716" s="5" t="str">
        <f ca="1">IFERROR(__xludf.DUMMYFUNCTION("""COMPUTED_VALUE"""),"К-03 АЯКС (S)")</f>
        <v>К-03 АЯКС (S)</v>
      </c>
      <c r="B716" s="6" t="str">
        <f ca="1">IFERROR(__xludf.DUMMYFUNCTION("""COMPUTED_VALUE"""),"для монтажа датчиков ИО 102-53, ДПМГ-26Ех к неподвижным поверхностям охраняемых конструкций.Сталь с защитным покрытием")</f>
        <v>для монтажа датчиков ИО 102-53, ДПМГ-26Ех к неподвижным поверхностям охраняемых конструкций.Сталь с защитным покрытием</v>
      </c>
      <c r="C716" s="9">
        <f ca="1">IFERROR(__xludf.DUMMYFUNCTION("""COMPUTED_VALUE"""),753.7211)</f>
        <v>753.72109999999998</v>
      </c>
      <c r="D716" s="6"/>
      <c r="E716" s="8"/>
    </row>
    <row r="717" spans="1:5" ht="51">
      <c r="A717" s="5" t="str">
        <f ca="1">IFERROR(__xludf.DUMMYFUNCTION("""COMPUTED_VALUE"""),"К-03 АЯКС (Нержавейка-Ех)")</f>
        <v>К-03 АЯКС (Нержавейка-Ех)</v>
      </c>
      <c r="B717" s="6" t="str">
        <f ca="1">IFERROR(__xludf.DUMMYFUNCTION("""COMPUTED_VALUE"""),"для монтажа датчиков ИО 102-53, ДПМГ-26Ех к неподвижным поверхностям охраняемых конструкций. Из нержавеющей стали")</f>
        <v>для монтажа датчиков ИО 102-53, ДПМГ-26Ех к неподвижным поверхностям охраняемых конструкций. Из нержавеющей стали</v>
      </c>
      <c r="C717" s="9">
        <f ca="1">IFERROR(__xludf.DUMMYFUNCTION("""COMPUTED_VALUE"""),1591.1863)</f>
        <v>1591.1863000000001</v>
      </c>
      <c r="D717" s="6"/>
      <c r="E717" s="8"/>
    </row>
    <row r="718" spans="1:5" ht="76.5">
      <c r="A718" s="5" t="str">
        <f ca="1">IFERROR(__xludf.DUMMYFUNCTION("""COMPUTED_VALUE"""),"К-40")</f>
        <v>К-40</v>
      </c>
      <c r="B718" s="6" t="str">
        <f ca="1">IFERROR(__xludf.DUMMYFUNCTION("""COMPUTED_VALUE"""),"для изменения положения при монтаже блока магнита или блока датчика извещателей ИО 102-40,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извещателей ИО 102-40, позволяет изменить положение одного из блоков на 90 град. Нержавеющая сталь толщиной 1,5 мм</v>
      </c>
      <c r="C718" s="9">
        <f ca="1">IFERROR(__xludf.DUMMYFUNCTION("""COMPUTED_VALUE"""),330.33)</f>
        <v>330.33</v>
      </c>
      <c r="D718" s="6"/>
      <c r="E718" s="8"/>
    </row>
    <row r="719" spans="1:5" ht="63.75">
      <c r="A719" s="5" t="str">
        <f ca="1">IFERROR(__xludf.DUMMYFUNCTION("""COMPUTED_VALUE"""),"КР-40 Нержавейка")</f>
        <v>КР-40 Нержавейка</v>
      </c>
      <c r="B719"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719" s="9">
        <f ca="1">IFERROR(__xludf.DUMMYFUNCTION("""COMPUTED_VALUE"""),480)</f>
        <v>480</v>
      </c>
      <c r="D719" s="6"/>
      <c r="E719" s="8"/>
    </row>
    <row r="720" spans="1:5" ht="51">
      <c r="A720" s="5" t="str">
        <f ca="1">IFERROR(__xludf.DUMMYFUNCTION("""COMPUTED_VALUE"""),"Проставка для ИО 102-40")</f>
        <v>Проставка для ИО 102-40</v>
      </c>
      <c r="B720" s="6" t="str">
        <f ca="1">IFERROR(__xludf.DUMMYFUNCTION("""COMPUTED_VALUE"""),"Позволяет восстановить соосность магнита и датчика, поднимает любой из блоков извещателя на 5 мм (набором — 10мм, 15 мм и т.д), пластик, вес 3.5 г.")</f>
        <v>Позволяет восстановить соосность магнита и датчика, поднимает любой из блоков извещателя на 5 мм (набором — 10мм, 15 мм и т.д), пластик, вес 3.5 г.</v>
      </c>
      <c r="C720" s="9">
        <f ca="1">IFERROR(__xludf.DUMMYFUNCTION("""COMPUTED_VALUE"""),22.68)</f>
        <v>22.68</v>
      </c>
      <c r="D720" s="6"/>
      <c r="E720" s="8"/>
    </row>
    <row r="721" spans="1:5" ht="89.25">
      <c r="A721" s="5" t="str">
        <f ca="1">IFERROR(__xludf.DUMMYFUNCTION("""COMPUTED_VALUE"""),"ИО 102-40 А2М (3) (спецсерия, срабатывание 10 мм) АТФЕ.425119.066 ТУ")</f>
        <v>ИО 102-40 А2М (3) (спецсерия, срабатывание 10 мм) АТФЕ.425119.066 ТУ</v>
      </c>
      <c r="B721" s="6" t="str">
        <f ca="1">IFERROR(__xludf.DUMMYFUNCTION("""COMPUTED_VALUE"""),"Извещатель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f>
        <v>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v>
      </c>
      <c r="C721" s="9">
        <f ca="1">IFERROR(__xludf.DUMMYFUNCTION("""COMPUTED_VALUE"""),912.45)</f>
        <v>912.45</v>
      </c>
      <c r="D721" s="6"/>
      <c r="E721" s="8"/>
    </row>
    <row r="722" spans="1:5" ht="89.25">
      <c r="A722" s="5" t="str">
        <f ca="1">IFERROR(__xludf.DUMMYFUNCTION("""COMPUTED_VALUE"""),"ИО 102-40 Б2М (3) (спецсерия, срабатывание 10 мм) АТФЕ.425119.066 ТУ")</f>
        <v>ИО 102-40 Б2М (3) (спецсерия, срабатывание 10 мм) АТФЕ.425119.066 ТУ</v>
      </c>
      <c r="B722" s="6" t="str">
        <f ca="1">IFERROR(__xludf.DUMMYFUNCTION("""COMPUTED_VALUE"""),"Извещатель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f>
        <v>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v>
      </c>
      <c r="C722" s="9">
        <f ca="1">IFERROR(__xludf.DUMMYFUNCTION("""COMPUTED_VALUE"""),854.7)</f>
        <v>854.7</v>
      </c>
      <c r="D722" s="6"/>
      <c r="E722" s="8"/>
    </row>
    <row r="723" spans="1:5" ht="63.75">
      <c r="A723" s="5" t="str">
        <f ca="1">IFERROR(__xludf.DUMMYFUNCTION("""COMPUTED_VALUE"""),"ИО 102-40 А2П (2) (спецсерия, срабатывание 10 мм) АТФЕ.425119.066 ТУ")</f>
        <v>ИО 102-40 А2П (2) (спецсерия, срабатывание 10 мм) АТФЕ.425119.066 ТУ</v>
      </c>
      <c r="B723" s="6" t="str">
        <f ca="1">IFERROR(__xludf.DUMMYFUNCTION("""COMPUTED_VALUE"""),"Извещатель повышенной чувствительности — расстояние срабатывания не более 10 мм, отпускания не менее 20 мм.  Корпус  АБС пластик, неразборный, IP 66/67.")</f>
        <v>Извещатель повышенной чувствительности — расстояние срабатывания не более 10 мм, отпускания не менее 20 мм.  Корпус  АБС пластик, неразборный, IP 66/67.</v>
      </c>
      <c r="C723" s="9">
        <f ca="1">IFERROR(__xludf.DUMMYFUNCTION("""COMPUTED_VALUE"""),261.03)</f>
        <v>261.02999999999997</v>
      </c>
      <c r="D723" s="6"/>
      <c r="E723" s="8"/>
    </row>
    <row r="724" spans="1:5" ht="63.75">
      <c r="A724" s="5" t="str">
        <f ca="1">IFERROR(__xludf.DUMMYFUNCTION("""COMPUTED_VALUE"""),"ИО 102-40 Б2П (2) (спецсерия, срабатывание 10 мм) АТФЕ.425119.066 ТУ")</f>
        <v>ИО 102-40 Б2П (2) (спецсерия, срабатывание 10 мм) АТФЕ.425119.066 ТУ</v>
      </c>
      <c r="B724" s="6" t="str">
        <f ca="1">IFERROR(__xludf.DUMMYFUNCTION("""COMPUTED_VALUE"""),"Извещатель повышенной чувствительности — расстояние срабатывания не более 10 мм, отпускания не менее 20 мм.  Корпус  АБС пластик, неразборный, IP 66/67.")</f>
        <v>Извещатель повышенной чувствительности — расстояние срабатывания не более 10 мм, отпускания не менее 20 мм.  Корпус  АБС пластик, неразборный, IP 66/67.</v>
      </c>
      <c r="C724" s="9">
        <f ca="1">IFERROR(__xludf.DUMMYFUNCTION("""COMPUTED_VALUE"""),261.03)</f>
        <v>261.02999999999997</v>
      </c>
      <c r="D724" s="6"/>
      <c r="E724" s="8"/>
    </row>
    <row r="725" spans="1:5" ht="38.25">
      <c r="A725" s="5" t="str">
        <f ca="1">IFERROR(__xludf.DUMMYFUNCTION("""COMPUTED_VALUE"""),"ИО 102-40 А2П (1) АТФЕ.425119.066 ТУ")</f>
        <v>ИО 102-40 А2П (1) АТФЕ.425119.066 ТУ</v>
      </c>
      <c r="B725"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25" s="9">
        <f ca="1">IFERROR(__xludf.DUMMYFUNCTION("""COMPUTED_VALUE"""),168.63)</f>
        <v>168.63</v>
      </c>
      <c r="D725" s="6"/>
      <c r="E725" s="8"/>
    </row>
    <row r="726" spans="1:5" ht="38.25">
      <c r="A726" s="5" t="str">
        <f ca="1">IFERROR(__xludf.DUMMYFUNCTION("""COMPUTED_VALUE"""),"ИО 102-40 Б2П (1) АТФЕ.425119.066 ТУ")</f>
        <v>ИО 102-40 Б2П (1) АТФЕ.425119.066 ТУ</v>
      </c>
      <c r="B726"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26" s="9">
        <f ca="1">IFERROR(__xludf.DUMMYFUNCTION("""COMPUTED_VALUE"""),168.63)</f>
        <v>168.63</v>
      </c>
      <c r="D726" s="6"/>
      <c r="E726" s="8"/>
    </row>
    <row r="727" spans="1:5" ht="51">
      <c r="A727" s="5" t="str">
        <f ca="1">IFERROR(__xludf.DUMMYFUNCTION("""COMPUTED_VALUE"""),"ИО 102-40 А2П (2) АТФЕ.425119.066 ТУ")</f>
        <v>ИО 102-40 А2П (2) АТФЕ.425119.066 ТУ</v>
      </c>
      <c r="B727"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27" s="9">
        <f ca="1">IFERROR(__xludf.DUMMYFUNCTION("""COMPUTED_VALUE"""),173.25)</f>
        <v>173.25</v>
      </c>
      <c r="D727" s="6"/>
      <c r="E727" s="8"/>
    </row>
    <row r="728" spans="1:5" ht="51">
      <c r="A728" s="5" t="str">
        <f ca="1">IFERROR(__xludf.DUMMYFUNCTION("""COMPUTED_VALUE"""),"ИО 102-40 Б2П (2) АТФЕ.425119.066 ТУ")</f>
        <v>ИО 102-40 Б2П (2) АТФЕ.425119.066 ТУ</v>
      </c>
      <c r="B728"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28" s="9">
        <f ca="1">IFERROR(__xludf.DUMMYFUNCTION("""COMPUTED_VALUE"""),173.25)</f>
        <v>173.25</v>
      </c>
      <c r="D728" s="6"/>
      <c r="E728" s="8"/>
    </row>
    <row r="729" spans="1:5" ht="76.5">
      <c r="A729" s="5" t="str">
        <f ca="1">IFERROR(__xludf.DUMMYFUNCTION("""COMPUTED_VALUE"""),"ИО 102-40 А2П (2) FRHF")</f>
        <v>ИО 102-40 А2П (2) FRHF</v>
      </c>
      <c r="B729" s="6" t="str">
        <f ca="1">IFERROR(__xludf.DUMMYFUNCTION("""COMPUTED_VALUE"""),"Для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f>
        <v>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v>
      </c>
      <c r="C729" s="9">
        <f ca="1">IFERROR(__xludf.DUMMYFUNCTION("""COMPUTED_VALUE"""),330)</f>
        <v>330</v>
      </c>
      <c r="D729" s="6"/>
      <c r="E729" s="8"/>
    </row>
    <row r="730" spans="1:5" ht="76.5">
      <c r="A730" s="5" t="str">
        <f ca="1">IFERROR(__xludf.DUMMYFUNCTION("""COMPUTED_VALUE"""),"ИО 102-40 Б2П (2) FRHF")</f>
        <v>ИО 102-40 Б2П (2) FRHF</v>
      </c>
      <c r="B730" s="6" t="str">
        <f ca="1">IFERROR(__xludf.DUMMYFUNCTION("""COMPUTED_VALUE"""),"Для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f>
        <v>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v>
      </c>
      <c r="C730" s="9">
        <f ca="1">IFERROR(__xludf.DUMMYFUNCTION("""COMPUTED_VALUE"""),330)</f>
        <v>330</v>
      </c>
      <c r="D730" s="6"/>
      <c r="E730" s="8"/>
    </row>
    <row r="731" spans="1:5" ht="63.75">
      <c r="A731" s="5" t="str">
        <f ca="1">IFERROR(__xludf.DUMMYFUNCTION("""COMPUTED_VALUE"""),"ИО 102-40 А2П (2) Усиленный")</f>
        <v>ИО 102-40 А2П (2) Усиленный</v>
      </c>
      <c r="B731" s="6" t="str">
        <f ca="1">IFERROR(__xludf.DUMMYFUNCTION("""COMPUTED_VALUE"""),"Увеличенное расстояние срабатывания —  не более 50 мм, отпускание 70 мм (на магнитоактивной поверхности).
Корпус АБС пластик, неразборный, IP 66/67.")</f>
        <v>Увеличенное расстояние срабатывания —  не более 50 мм, отпускание 70 мм (на магнитоактивной поверхности).
Корпус АБС пластик, неразборный, IP 66/67.</v>
      </c>
      <c r="C731" s="9">
        <f ca="1">IFERROR(__xludf.DUMMYFUNCTION("""COMPUTED_VALUE"""),415.8)</f>
        <v>415.8</v>
      </c>
      <c r="D731" s="6"/>
      <c r="E731" s="8"/>
    </row>
    <row r="732" spans="1:5" ht="63.75">
      <c r="A732" s="5" t="str">
        <f ca="1">IFERROR(__xludf.DUMMYFUNCTION("""COMPUTED_VALUE"""),"ИО 102-40 Б2П (2) Усиленный")</f>
        <v>ИО 102-40 Б2П (2) Усиленный</v>
      </c>
      <c r="B732" s="6" t="str">
        <f ca="1">IFERROR(__xludf.DUMMYFUNCTION("""COMPUTED_VALUE"""),"Увеличенное расстояние срабатывания —  не более 50 мм, отпускание 70 мм (на магнитоактивной поверхности).
Корпус АБС пластик, неразборный, IP 66/67.")</f>
        <v>Увеличенное расстояние срабатывания —  не более 50 мм, отпускание 70 мм (на магнитоактивной поверхности).
Корпус АБС пластик, неразборный, IP 66/67.</v>
      </c>
      <c r="C732" s="9">
        <f ca="1">IFERROR(__xludf.DUMMYFUNCTION("""COMPUTED_VALUE"""),415.8)</f>
        <v>415.8</v>
      </c>
      <c r="D732" s="6"/>
      <c r="E732" s="8"/>
    </row>
    <row r="733" spans="1:5" ht="51">
      <c r="A733" s="5" t="str">
        <f ca="1">IFERROR(__xludf.DUMMYFUNCTION("""COMPUTED_VALUE"""),"ИО 102-40 Б2П (2) БЕЛЫЙ АТФЕ.425119.066 ТУ")</f>
        <v>ИО 102-40 Б2П (2) БЕЛЫЙ АТФЕ.425119.066 ТУ</v>
      </c>
      <c r="B733"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33" s="9">
        <f ca="1">IFERROR(__xludf.DUMMYFUNCTION("""COMPUTED_VALUE"""),182.49)</f>
        <v>182.49</v>
      </c>
      <c r="D733" s="6"/>
      <c r="E733" s="8"/>
    </row>
    <row r="734" spans="1:5" ht="51">
      <c r="A734" s="5" t="str">
        <f ca="1">IFERROR(__xludf.DUMMYFUNCTION("""COMPUTED_VALUE"""),"ИО 102-40 Б2П (2) КОРИЧНЕВЫЙ АТФЕ.425119.066 ТУ")</f>
        <v>ИО 102-40 Б2П (2) КОРИЧНЕВЫЙ АТФЕ.425119.066 ТУ</v>
      </c>
      <c r="B734"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34" s="9">
        <f ca="1">IFERROR(__xludf.DUMMYFUNCTION("""COMPUTED_VALUE"""),182.49)</f>
        <v>182.49</v>
      </c>
      <c r="D734" s="6"/>
      <c r="E734" s="8"/>
    </row>
    <row r="735" spans="1:5" ht="51">
      <c r="A735" s="5" t="str">
        <f ca="1">IFERROR(__xludf.DUMMYFUNCTION("""COMPUTED_VALUE"""),"ИО 102-40 Б2П (2) ТЕРРАКОТОВЫЙ АТФЕ.425119.066 ТУ")</f>
        <v>ИО 102-40 Б2П (2) ТЕРРАКОТОВЫЙ АТФЕ.425119.066 ТУ</v>
      </c>
      <c r="B735"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35" s="9">
        <f ca="1">IFERROR(__xludf.DUMMYFUNCTION("""COMPUTED_VALUE"""),182.49)</f>
        <v>182.49</v>
      </c>
      <c r="D735" s="6"/>
      <c r="E735" s="8"/>
    </row>
    <row r="736" spans="1:5" ht="51">
      <c r="A736" s="5" t="str">
        <f ca="1">IFERROR(__xludf.DUMMYFUNCTION("""COMPUTED_VALUE"""),"ИО 102-40 А2П (3) АТФЕ.425119.066 ТУ")</f>
        <v>ИО 102-40 А2П (3) АТФЕ.425119.066 ТУ</v>
      </c>
      <c r="B736"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36" s="9">
        <f ca="1">IFERROR(__xludf.DUMMYFUNCTION("""COMPUTED_VALUE"""),235.62)</f>
        <v>235.62</v>
      </c>
      <c r="D736" s="6"/>
      <c r="E736" s="8"/>
    </row>
    <row r="737" spans="1:5" ht="51">
      <c r="A737" s="5" t="str">
        <f ca="1">IFERROR(__xludf.DUMMYFUNCTION("""COMPUTED_VALUE"""),"ИО 102-40 Б2П (3) АТФЕ.425119.066 ТУ")</f>
        <v>ИО 102-40 Б2П (3) АТФЕ.425119.066 ТУ</v>
      </c>
      <c r="B737"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37" s="9">
        <f ca="1">IFERROR(__xludf.DUMMYFUNCTION("""COMPUTED_VALUE"""),235.62)</f>
        <v>235.62</v>
      </c>
      <c r="D737" s="6"/>
      <c r="E737" s="8"/>
    </row>
    <row r="738" spans="1:5" ht="25.5">
      <c r="A738" s="5" t="str">
        <f ca="1">IFERROR(__xludf.DUMMYFUNCTION("""COMPUTED_VALUE"""),"ИО 102-40 Б2П В АТФЕ.425119.066 ТУ")</f>
        <v>ИО 102-40 Б2П В АТФЕ.425119.066 ТУ</v>
      </c>
      <c r="B738" s="6" t="str">
        <f ca="1">IFERROR(__xludf.DUMMYFUNCTION("""COMPUTED_VALUE"""),"С подключением шлейфа внутри датчика под винт. Рабочий зазор не менее 30мм")</f>
        <v>С подключением шлейфа внутри датчика под винт. Рабочий зазор не менее 30мм</v>
      </c>
      <c r="C738" s="9">
        <f ca="1">IFERROR(__xludf.DUMMYFUNCTION("""COMPUTED_VALUE"""),244.86)</f>
        <v>244.86</v>
      </c>
      <c r="D738" s="6"/>
      <c r="E738" s="8"/>
    </row>
    <row r="739" spans="1:5" ht="114.75">
      <c r="A739" s="5" t="str">
        <f ca="1">IFERROR(__xludf.DUMMYFUNCTION("""COMPUTED_VALUE"""),"ИО 102-40 А2П ИБ 0Ex ia IIB T6 Ga X АТФЕ.425119.066 ПС")</f>
        <v>ИО 102-40 А2П ИБ 0Ex ia IIB T6 Ga X АТФЕ.425119.066 ПС</v>
      </c>
      <c r="B739" s="6" t="str">
        <f ca="1">IFERROR(__xludf.DUMMYFUNCTION("""COMPUTED_VALUE"""),"Извещатель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нер"&amp;"жавеющей стали + .. руб.")</f>
        <v>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нержавеющей стали + .. руб.</v>
      </c>
      <c r="C739" s="9">
        <f ca="1">IFERROR(__xludf.DUMMYFUNCTION("""COMPUTED_VALUE"""),1010.625)</f>
        <v>1010.625</v>
      </c>
      <c r="D739" s="6"/>
      <c r="E739" s="8"/>
    </row>
    <row r="740" spans="1:5" ht="114.75">
      <c r="A740" s="5" t="str">
        <f ca="1">IFERROR(__xludf.DUMMYFUNCTION("""COMPUTED_VALUE"""),"ИО 102-40 Б2П ИБ 0Ex ia IIB T6 Ga X АТФЕ.425119.066 ПС")</f>
        <v>ИО 102-40 Б2П ИБ 0Ex ia IIB T6 Ga X АТФЕ.425119.066 ПС</v>
      </c>
      <c r="B740" s="6" t="str">
        <f ca="1">IFERROR(__xludf.DUMMYFUNCTION("""COMPUTED_VALUE"""),"Извещатель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нер"&amp;"жавеющей стали + .. руб.")</f>
        <v>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нержавеющей стали + .. руб.</v>
      </c>
      <c r="C740" s="9">
        <f ca="1">IFERROR(__xludf.DUMMYFUNCTION("""COMPUTED_VALUE"""),986.37)</f>
        <v>986.37</v>
      </c>
      <c r="D740" s="6"/>
      <c r="E740" s="8"/>
    </row>
    <row r="741" spans="1:5" ht="63.75">
      <c r="A741" s="5" t="str">
        <f ca="1">IFERROR(__xludf.DUMMYFUNCTION("""COMPUTED_VALUE"""),"ИО 102-40 А2М (3) АТФЕ.425119.066 ТУ")</f>
        <v>ИО 102-40 А2М (3) АТФЕ.425119.066 ТУ</v>
      </c>
      <c r="B741" s="6" t="str">
        <f ca="1">IFERROR(__xludf.DUMMYFUNCTION("""COMPUTED_VALUE"""),"Корпус металлический, неразборный, согласно ГОСТ Р 52435,рабочий зазор не менее 30 мм. Металлический рукав из оцинкованной стали. Вандалозащищенный.")</f>
        <v>Корпус металлический, неразборный, согласно ГОСТ Р 52435,рабочий зазор не менее 30 мм. Металлический рукав из оцинкованной стали. Вандалозащищенный.</v>
      </c>
      <c r="C741" s="9">
        <f ca="1">IFERROR(__xludf.DUMMYFUNCTION("""COMPUTED_VALUE"""),606.375)</f>
        <v>606.375</v>
      </c>
      <c r="D741" s="6"/>
      <c r="E741" s="8"/>
    </row>
    <row r="742" spans="1:5" ht="63.75">
      <c r="A742" s="5" t="str">
        <f ca="1">IFERROR(__xludf.DUMMYFUNCTION("""COMPUTED_VALUE"""),"ИО 102-40 Б2М (3) АТФЕ.425119.066 ТУ")</f>
        <v>ИО 102-40 Б2М (3) АТФЕ.425119.066 ТУ</v>
      </c>
      <c r="B742" s="6" t="str">
        <f ca="1">IFERROR(__xludf.DUMMYFUNCTION("""COMPUTED_VALUE"""),"Корпус металлический, неразборный, согласно ГОСТ Р 52435,рабочий зазор не менее 30 мм. Металлический рукав из оцинкованной стали. Вандалозащищенный.")</f>
        <v>Корпус металлический, неразборный, согласно ГОСТ Р 52435,рабочий зазор не менее 30 мм. Металлический рукав из оцинкованной стали. Вандалозащищенный.</v>
      </c>
      <c r="C742" s="9">
        <f ca="1">IFERROR(__xludf.DUMMYFUNCTION("""COMPUTED_VALUE"""),565.95)</f>
        <v>565.95000000000005</v>
      </c>
      <c r="D742" s="6"/>
      <c r="E742" s="8"/>
    </row>
    <row r="743" spans="1:5" ht="89.25">
      <c r="A743" s="5" t="str">
        <f ca="1">IFERROR(__xludf.DUMMYFUNCTION("""COMPUTED_VALUE"""),"ИО 102-40 А2М (3) АВТО")</f>
        <v>ИО 102-40 А2М (3) АВТО</v>
      </c>
      <c r="B743" s="6" t="str">
        <f ca="1">IFERROR(__xludf.DUMMYFUNCTION("""COMPUTED_VALUE"""),"Для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f>
        <v>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v>
      </c>
      <c r="C743" s="9">
        <f ca="1">IFERROR(__xludf.DUMMYFUNCTION("""COMPUTED_VALUE"""),850)</f>
        <v>850</v>
      </c>
      <c r="D743" s="6"/>
      <c r="E743" s="8"/>
    </row>
    <row r="744" spans="1:5" ht="89.25">
      <c r="A744" s="5" t="str">
        <f ca="1">IFERROR(__xludf.DUMMYFUNCTION("""COMPUTED_VALUE"""),"ИО 102-40 Б2М (3) АВТО")</f>
        <v>ИО 102-40 Б2М (3) АВТО</v>
      </c>
      <c r="B744" s="6" t="str">
        <f ca="1">IFERROR(__xludf.DUMMYFUNCTION("""COMPUTED_VALUE"""),"Для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f>
        <v>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v>
      </c>
      <c r="C744" s="9">
        <f ca="1">IFERROR(__xludf.DUMMYFUNCTION("""COMPUTED_VALUE"""),800)</f>
        <v>800</v>
      </c>
      <c r="D744" s="6"/>
      <c r="E744" s="8"/>
    </row>
    <row r="745" spans="1:5" ht="76.5">
      <c r="A745" s="5" t="str">
        <f ca="1">IFERROR(__xludf.DUMMYFUNCTION("""COMPUTED_VALUE"""),"ИО 102-40 А2М (3) Усиленный")</f>
        <v>ИО 102-40 А2М (3) Усиленный</v>
      </c>
      <c r="B745" s="6" t="str">
        <f ca="1">IFERROR(__xludf.DUMMYFUNCTION("""COMPUTED_VALUE"""),"Увеличенное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f>
        <v>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v>
      </c>
      <c r="C745" s="9">
        <f ca="1">IFERROR(__xludf.DUMMYFUNCTION("""COMPUTED_VALUE"""),1108.8)</f>
        <v>1108.8</v>
      </c>
      <c r="D745" s="6"/>
      <c r="E745" s="8"/>
    </row>
    <row r="746" spans="1:5" ht="76.5">
      <c r="A746" s="5" t="str">
        <f ca="1">IFERROR(__xludf.DUMMYFUNCTION("""COMPUTED_VALUE"""),"ИО 102-40 Б2М (3) Усиленный")</f>
        <v>ИО 102-40 Б2М (3) Усиленный</v>
      </c>
      <c r="B746" s="6" t="str">
        <f ca="1">IFERROR(__xludf.DUMMYFUNCTION("""COMPUTED_VALUE"""),"Увеличенное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f>
        <v>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v>
      </c>
      <c r="C746" s="9">
        <f ca="1">IFERROR(__xludf.DUMMYFUNCTION("""COMPUTED_VALUE"""),1108.8)</f>
        <v>1108.8</v>
      </c>
      <c r="D746" s="6"/>
      <c r="E746" s="8"/>
    </row>
    <row r="747" spans="1:5" ht="89.25">
      <c r="A747" s="5" t="str">
        <f ca="1">IFERROR(__xludf.DUMMYFUNCTION("""COMPUTED_VALUE"""),"ИО 102-40 Б2М В Усиленный")</f>
        <v>ИО 102-40 Б2М В Усиленный</v>
      </c>
      <c r="B747" s="6" t="str">
        <f ca="1">IFERROR(__xludf.DUMMYFUNCTION("""COMPUTED_VALUE"""),"Извещатель, предусматривающий подключение оконечного резистора нагрузки шлейфа. Датчик выполнен с винтовыми зажимами с тремя контактами. Вандалозащищенный. Корпус металлический, неразборный, IP 55")</f>
        <v>Извещатель, предусматривающий подключение оконечного резистора нагрузки шлейфа. Датчик выполнен с винтовыми зажимами с тремя контактами. Вандалозащищенный. Корпус металлический, неразборный, IP 55</v>
      </c>
      <c r="C747" s="9">
        <f ca="1">IFERROR(__xludf.DUMMYFUNCTION("""COMPUTED_VALUE"""),1108.8)</f>
        <v>1108.8</v>
      </c>
      <c r="D747" s="6"/>
      <c r="E747" s="8"/>
    </row>
    <row r="748" spans="1:5" ht="63.75">
      <c r="A748" s="5" t="str">
        <f ca="1">IFERROR(__xludf.DUMMYFUNCTION("""COMPUTED_VALUE"""),"ИО 102-40 А2М (4) АТФЕ.425119.066 ТУ")</f>
        <v>ИО 102-40 А2М (4) АТФЕ.425119.066 ТУ</v>
      </c>
      <c r="B748" s="6" t="str">
        <f ca="1">IFERROR(__xludf.DUMMYFUNCTION("""COMPUTED_VALUE"""),"Корпус металлический, неразборный, согласно ГОСТ Р 52435,рабочий зазор не менее 30 мм. Металлический рукав из нержавеющей стали. Вандалозащищенный.")</f>
        <v>Корпус металлический, неразборный, согласно ГОСТ Р 52435,рабочий зазор не менее 30 мм. Металлический рукав из нержавеющей стали. Вандалозащищенный.</v>
      </c>
      <c r="C748" s="9">
        <f ca="1">IFERROR(__xludf.DUMMYFUNCTION("""COMPUTED_VALUE"""),646.8)</f>
        <v>646.79999999999995</v>
      </c>
      <c r="D748" s="6"/>
      <c r="E748" s="8"/>
    </row>
    <row r="749" spans="1:5" ht="63.75">
      <c r="A749" s="5" t="str">
        <f ca="1">IFERROR(__xludf.DUMMYFUNCTION("""COMPUTED_VALUE"""),"ИО 102-40 Б2М (4) АТФЕ.425119.066 ТУ")</f>
        <v>ИО 102-40 Б2М (4) АТФЕ.425119.066 ТУ</v>
      </c>
      <c r="B749" s="6" t="str">
        <f ca="1">IFERROR(__xludf.DUMMYFUNCTION("""COMPUTED_VALUE"""),"Корпус металлический, неразборный, согласно ГОСТ Р 52435,рабочий зазор не менее 30 мм. Металлический рукав из нержавеющей стали. Вандалозащищенный.")</f>
        <v>Корпус металлический, неразборный, согласно ГОСТ Р 52435,рабочий зазор не менее 30 мм. Металлический рукав из нержавеющей стали. Вандалозащищенный.</v>
      </c>
      <c r="C749" s="9">
        <f ca="1">IFERROR(__xludf.DUMMYFUNCTION("""COMPUTED_VALUE"""),600.6)</f>
        <v>600.6</v>
      </c>
      <c r="D749" s="6"/>
      <c r="E749" s="8"/>
    </row>
    <row r="750" spans="1:5" ht="63.75">
      <c r="A750" s="5" t="str">
        <f ca="1">IFERROR(__xludf.DUMMYFUNCTION("""COMPUTED_VALUE"""),"ИО 102-40 Б2М (В)")</f>
        <v>ИО 102-40 Б2М (В)</v>
      </c>
      <c r="B750" s="6" t="str">
        <f ca="1">IFERROR(__xludf.DUMMYFUNCTION("""COMPUTED_VALUE"""),"Извещатель, предусматривающий подключение оконечного резистора нагрузки шлейфа. Датчик выполнен с винтовыми зажимами с тремя контактами.")</f>
        <v>Извещатель, предусматривающий подключение оконечного резистора нагрузки шлейфа. Датчик выполнен с винтовыми зажимами с тремя контактами.</v>
      </c>
      <c r="C750" s="9">
        <f ca="1">IFERROR(__xludf.DUMMYFUNCTION("""COMPUTED_VALUE"""),600.6)</f>
        <v>600.6</v>
      </c>
      <c r="D750" s="6"/>
      <c r="E750" s="8"/>
    </row>
    <row r="751" spans="1:5" ht="63.75">
      <c r="A751" s="5" t="str">
        <f ca="1">IFERROR(__xludf.DUMMYFUNCTION("""COMPUTED_VALUE"""),"ИО 102-40 А3П (1) АТФЕ.425119.066 ТУ")</f>
        <v>ИО 102-40 А3П (1) АТФЕ.425119.066 ТУ</v>
      </c>
      <c r="B751"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51" s="9">
        <f ca="1">IFERROR(__xludf.DUMMYFUNCTION("""COMPUTED_VALUE"""),392.7)</f>
        <v>392.7</v>
      </c>
      <c r="D751" s="6"/>
      <c r="E751" s="8"/>
    </row>
    <row r="752" spans="1:5" ht="63.75">
      <c r="A752" s="5" t="str">
        <f ca="1">IFERROR(__xludf.DUMMYFUNCTION("""COMPUTED_VALUE"""),"ИО 102-40 Б3П (1) АТФЕ.425119.066 ТУ")</f>
        <v>ИО 102-40 Б3П (1) АТФЕ.425119.066 ТУ</v>
      </c>
      <c r="B752"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52" s="9">
        <f ca="1">IFERROR(__xludf.DUMMYFUNCTION("""COMPUTED_VALUE"""),378.84)</f>
        <v>378.84</v>
      </c>
      <c r="D752" s="6"/>
      <c r="E752" s="8"/>
    </row>
    <row r="753" spans="1:5" ht="63.75">
      <c r="A753" s="5" t="str">
        <f ca="1">IFERROR(__xludf.DUMMYFUNCTION("""COMPUTED_VALUE"""),"ИО 102-40 А3П (2) АТФЕ.425119.066 ТУ")</f>
        <v>ИО 102-40 А3П (2) АТФЕ.425119.066 ТУ</v>
      </c>
      <c r="B753"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53" s="9">
        <f ca="1">IFERROR(__xludf.DUMMYFUNCTION("""COMPUTED_VALUE"""),399.63)</f>
        <v>399.63</v>
      </c>
      <c r="D753" s="6"/>
      <c r="E753" s="8"/>
    </row>
    <row r="754" spans="1:5" ht="63.75">
      <c r="A754" s="5" t="str">
        <f ca="1">IFERROR(__xludf.DUMMYFUNCTION("""COMPUTED_VALUE"""),"ИО 102-40 Б3П (2) АТФЕ.425119.066 ТУ")</f>
        <v>ИО 102-40 Б3П (2) АТФЕ.425119.066 ТУ</v>
      </c>
      <c r="B754"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54" s="9">
        <f ca="1">IFERROR(__xludf.DUMMYFUNCTION("""COMPUTED_VALUE"""),388.08)</f>
        <v>388.08</v>
      </c>
      <c r="D754" s="6"/>
      <c r="E754" s="8"/>
    </row>
    <row r="755" spans="1:5" ht="63.75">
      <c r="A755" s="5" t="str">
        <f ca="1">IFERROR(__xludf.DUMMYFUNCTION("""COMPUTED_VALUE"""),"ИО 102-40 А3П (3) АТФЕ.425119.066 ТУ")</f>
        <v>ИО 102-40 А3П (3) АТФЕ.425119.066 ТУ</v>
      </c>
      <c r="B755"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55" s="9">
        <f ca="1">IFERROR(__xludf.DUMMYFUNCTION("""COMPUTED_VALUE"""),496.65)</f>
        <v>496.65</v>
      </c>
      <c r="D755" s="6"/>
      <c r="E755" s="8"/>
    </row>
    <row r="756" spans="1:5" ht="63.75">
      <c r="A756" s="5" t="str">
        <f ca="1">IFERROR(__xludf.DUMMYFUNCTION("""COMPUTED_VALUE"""),"ИО 102-40 Б3П (3) АТФЕ.425119.066 ТУ")</f>
        <v>ИО 102-40 Б3П (3) АТФЕ.425119.066 ТУ</v>
      </c>
      <c r="B756"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56" s="9">
        <f ca="1">IFERROR(__xludf.DUMMYFUNCTION("""COMPUTED_VALUE"""),496.65)</f>
        <v>496.65</v>
      </c>
      <c r="D756" s="6"/>
      <c r="E756" s="8"/>
    </row>
    <row r="757" spans="1:5" ht="114.75">
      <c r="A757" s="5" t="str">
        <f ca="1">IFERROR(__xludf.DUMMYFUNCTION("""COMPUTED_VALUE"""),"ИО 102-40 А3П ИБ 0Ex ia IIB T6 Ga X АТФЕ.425119.066 ПС")</f>
        <v>ИО 102-40 А3П ИБ 0Ex ia IIB T6 Ga X АТФЕ.425119.066 ПС</v>
      </c>
      <c r="B757" s="6" t="str">
        <f ca="1">IFERROR(__xludf.DUMMYFUNCTION("""COMPUTED_VALUE"""),"Извещатель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"&amp;"нержавеющей стали + .. руб.")</f>
        <v>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нержавеющей стали + .. руб.</v>
      </c>
      <c r="C757" s="9">
        <f ca="1">IFERROR(__xludf.DUMMYFUNCTION("""COMPUTED_VALUE"""),1273.965)</f>
        <v>1273.9649999999999</v>
      </c>
      <c r="D757" s="6"/>
      <c r="E757" s="8"/>
    </row>
    <row r="758" spans="1:5" ht="114.75">
      <c r="A758" s="5" t="str">
        <f ca="1">IFERROR(__xludf.DUMMYFUNCTION("""COMPUTED_VALUE"""),"ИО 102-40 Б3П ИБ 0Ex ia IIB T6 Ga X АТФЕ.425119.066 ПС")</f>
        <v>ИО 102-40 Б3П ИБ 0Ex ia IIB T6 Ga X АТФЕ.425119.066 ПС</v>
      </c>
      <c r="B758" s="6" t="str">
        <f ca="1">IFERROR(__xludf.DUMMYFUNCTION("""COMPUTED_VALUE"""),"Извещатель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"&amp;"нержавеющей стали + .. руб.")</f>
        <v>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нержавеющей стали + .. руб.</v>
      </c>
      <c r="C758" s="9">
        <f ca="1">IFERROR(__xludf.DUMMYFUNCTION("""COMPUTED_VALUE"""),1254.33)</f>
        <v>1254.33</v>
      </c>
      <c r="D758" s="6"/>
      <c r="E758" s="8"/>
    </row>
    <row r="759" spans="1:5" ht="63.75">
      <c r="A759" s="5" t="str">
        <f ca="1">IFERROR(__xludf.DUMMYFUNCTION("""COMPUTED_VALUE"""),"ИО 102-40 А3М (3) АТФЕ.425119.066 ТУ")</f>
        <v>ИО 102-40 А3М (3) АТФЕ.425119.066 ТУ</v>
      </c>
      <c r="B759"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59" s="9">
        <f ca="1">IFERROR(__xludf.DUMMYFUNCTION("""COMPUTED_VALUE"""),1017.4164)</f>
        <v>1017.4164</v>
      </c>
      <c r="D759" s="6"/>
      <c r="E759" s="8"/>
    </row>
    <row r="760" spans="1:5" ht="63.75">
      <c r="A760" s="5" t="str">
        <f ca="1">IFERROR(__xludf.DUMMYFUNCTION("""COMPUTED_VALUE"""),"ИО 102-40 Б3М (3) АТФЕ.425119.066 ТУ")</f>
        <v>ИО 102-40 Б3М (3) АТФЕ.425119.066 ТУ</v>
      </c>
      <c r="B760"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60" s="9">
        <f ca="1">IFERROR(__xludf.DUMMYFUNCTION("""COMPUTED_VALUE"""),962.91195)</f>
        <v>962.91195000000005</v>
      </c>
      <c r="D760" s="6"/>
      <c r="E760" s="8"/>
    </row>
    <row r="761" spans="1:5" ht="25.5">
      <c r="A761" s="5" t="str">
        <f ca="1">IFERROR(__xludf.DUMMYFUNCTION("""COMPUTED_VALUE"""),"ИО 102-40 А3М (4) АТФЕ.425119.066 ТУ")</f>
        <v>ИО 102-40 А3М (4) АТФЕ.425119.066 ТУ</v>
      </c>
      <c r="B761" s="6" t="str">
        <f ca="1">IFERROR(__xludf.DUMMYFUNCTION("""COMPUTED_VALUE"""),"Переключающие, металлорукав из нержавеющей стали")</f>
        <v>Переключающие, металлорукав из нержавеющей стали</v>
      </c>
      <c r="C761" s="9">
        <f ca="1">IFERROR(__xludf.DUMMYFUNCTION("""COMPUTED_VALUE"""),1051.05)</f>
        <v>1051.05</v>
      </c>
      <c r="D761" s="6"/>
      <c r="E761" s="8"/>
    </row>
    <row r="762" spans="1:5" ht="25.5">
      <c r="A762" s="5" t="str">
        <f ca="1">IFERROR(__xludf.DUMMYFUNCTION("""COMPUTED_VALUE"""),"ИО 102-40 Б3М (4) АТФЕ.425119.066 ТУ")</f>
        <v>ИО 102-40 Б3М (4) АТФЕ.425119.066 ТУ</v>
      </c>
      <c r="B762" s="6" t="str">
        <f ca="1">IFERROR(__xludf.DUMMYFUNCTION("""COMPUTED_VALUE"""),"Переключающие, металлорукав из нержавеющей стали")</f>
        <v>Переключающие, металлорукав из нержавеющей стали</v>
      </c>
      <c r="C762" s="9">
        <f ca="1">IFERROR(__xludf.DUMMYFUNCTION("""COMPUTED_VALUE"""),999.075)</f>
        <v>999.07500000000005</v>
      </c>
      <c r="D762" s="6"/>
      <c r="E762" s="8"/>
    </row>
    <row r="763" spans="1:5" ht="38.25">
      <c r="A763" s="5" t="str">
        <f ca="1">IFERROR(__xludf.DUMMYFUNCTION("""COMPUTED_VALUE"""),"ИО 102-40 Б2П ""Антисаботаж"" АТФЕ.425119.066 ТУ")</f>
        <v>ИО 102-40 Б2П "Антисаботаж" АТФЕ.425119.066 ТУ</v>
      </c>
      <c r="B763"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63" s="9">
        <f ca="1">IFERROR(__xludf.DUMMYFUNCTION("""COMPUTED_VALUE"""),400.42695)</f>
        <v>400.42694999999998</v>
      </c>
      <c r="D763" s="6"/>
      <c r="E763" s="8"/>
    </row>
    <row r="764" spans="1:5" ht="51">
      <c r="A764" s="5" t="str">
        <f ca="1">IFERROR(__xludf.DUMMYFUNCTION("""COMPUTED_VALUE"""),"ИО 102-40 Б2М ""Антисаботаж"" АТФЕ.425119.066 ТУ")</f>
        <v>ИО 102-40 Б2М "Антисаботаж" АТФЕ.425119.066 ТУ</v>
      </c>
      <c r="B764" s="6" t="str">
        <f ca="1">IFERROR(__xludf.DUMMYFUNCTION("""COMPUTED_VALUE"""),"Корпус металлический, неразборный, согласно ГОСТ Р 52435,рабочий зазор не менее 30 мм. Без защитного рукава. Вандалозащищенный.")</f>
        <v>Корпус металлический, неразборный, согласно ГОСТ Р 52435,рабочий зазор не менее 30 мм. Без защитного рукава. Вандалозащищенный.</v>
      </c>
      <c r="C764" s="9">
        <f ca="1">IFERROR(__xludf.DUMMYFUNCTION("""COMPUTED_VALUE"""),993.6234)</f>
        <v>993.62339999999995</v>
      </c>
      <c r="D764" s="6"/>
      <c r="E764" s="8"/>
    </row>
    <row r="765" spans="1:5" ht="51">
      <c r="A765" s="5" t="str">
        <f ca="1">IFERROR(__xludf.DUMMYFUNCTION("""COMPUTED_VALUE"""),"ИО 102-40 А2М (3) (высокотемпературный, t+160°С) АТФЕ.425119.066 ТУ")</f>
        <v>ИО 102-40 А2М (3) (высокотемпературный, t+160°С) АТФЕ.425119.066 ТУ</v>
      </c>
      <c r="B765" s="6" t="str">
        <f ca="1">IFERROR(__xludf.DUMMYFUNCTION("""COMPUTED_VALUE"""),"НР, Корпус металлический, неразборный, согласно ГОСТ Р 52435, рабочий зазор не менее 30 мм. Металлический рукав из оцинкованной стали.")</f>
        <v>НР, Корпус металлический, неразборный, согласно ГОСТ Р 52435, рабочий зазор не менее 30 мм. Металлический рукав из оцинкованной стали.</v>
      </c>
      <c r="C765" s="9">
        <f ca="1">IFERROR(__xludf.DUMMYFUNCTION("""COMPUTED_VALUE"""),4850.89605)</f>
        <v>4850.8960500000003</v>
      </c>
      <c r="D765" s="6"/>
      <c r="E765" s="8"/>
    </row>
    <row r="766" spans="1:5" ht="51">
      <c r="A766" s="5" t="str">
        <f ca="1">IFERROR(__xludf.DUMMYFUNCTION("""COMPUTED_VALUE"""),"ИО 102-40 Б2М (3) (высокотемпературный, t+160°С) АТФЕ.425119.066 ТУ")</f>
        <v>ИО 102-40 Б2М (3) (высокотемпературный, t+160°С) АТФЕ.425119.066 ТУ</v>
      </c>
      <c r="B766" s="6" t="str">
        <f ca="1">IFERROR(__xludf.DUMMYFUNCTION("""COMPUTED_VALUE"""),"НР, Корпус металлический, неразборный, согласно ГОСТ Р 52435, рабочий зазор не менее 30 мм. Металлический рукав из оцинкованной стали.")</f>
        <v>НР, Корпус металлический, неразборный, согласно ГОСТ Р 52435, рабочий зазор не менее 30 мм. Металлический рукав из оцинкованной стали.</v>
      </c>
      <c r="C766" s="9">
        <f ca="1">IFERROR(__xludf.DUMMYFUNCTION("""COMPUTED_VALUE"""),4850.89605)</f>
        <v>4850.8960500000003</v>
      </c>
      <c r="D766" s="6"/>
      <c r="E766" s="8"/>
    </row>
    <row r="767" spans="1:5" ht="51">
      <c r="A767" s="5" t="str">
        <f ca="1">IFERROR(__xludf.DUMMYFUNCTION("""COMPUTED_VALUE"""),"ИО 102-40 А2М (4) (высокотемпературный, t+160°С) АТФЕ.425119.066 ТУ")</f>
        <v>ИО 102-40 А2М (4) (высокотемпературный, t+160°С) АТФЕ.425119.066 ТУ</v>
      </c>
      <c r="B767" s="6" t="str">
        <f ca="1">IFERROR(__xludf.DUMMYFUNCTION("""COMPUTED_VALUE"""),"НР, Корпус металлический, неразборный, согласно ГОСТ Р 52435, рабочий зазор не менее 30 мм. Металлический рукав из нержавеющей стали.")</f>
        <v>НР, Корпус металлический, неразборный, согласно ГОСТ Р 52435, рабочий зазор не менее 30 мм. Металлический рукав из нержавеющей стали.</v>
      </c>
      <c r="C767" s="9">
        <f ca="1">IFERROR(__xludf.DUMMYFUNCTION("""COMPUTED_VALUE"""),5032.57755)</f>
        <v>5032.57755</v>
      </c>
      <c r="D767" s="6"/>
      <c r="E767" s="8"/>
    </row>
    <row r="768" spans="1:5" ht="51">
      <c r="A768" s="5" t="str">
        <f ca="1">IFERROR(__xludf.DUMMYFUNCTION("""COMPUTED_VALUE"""),"ИО 102-40 Б2М (4) (высокотемпературный, t+160°С) АТФЕ.425119.066 ТУ")</f>
        <v>ИО 102-40 Б2М (4) (высокотемпературный, t+160°С) АТФЕ.425119.066 ТУ</v>
      </c>
      <c r="B768" s="6" t="str">
        <f ca="1">IFERROR(__xludf.DUMMYFUNCTION("""COMPUTED_VALUE"""),"НР, Корпус металлический, неразборный, согласно ГОСТ Р 52435, рабочий зазор не менее 30 мм. Металлический рукав из нержавеющей стали.")</f>
        <v>НР, Корпус металлический, неразборный, согласно ГОСТ Р 52435, рабочий зазор не менее 30 мм. Металлический рукав из нержавеющей стали.</v>
      </c>
      <c r="C768" s="9">
        <f ca="1">IFERROR(__xludf.DUMMYFUNCTION("""COMPUTED_VALUE"""),5032.57755)</f>
        <v>5032.57755</v>
      </c>
      <c r="D768" s="6"/>
      <c r="E768" s="8"/>
    </row>
    <row r="769" spans="1:5" ht="63.75">
      <c r="A769" s="5" t="str">
        <f ca="1">IFERROR(__xludf.DUMMYFUNCTION("""COMPUTED_VALUE"""),"ИО 102-40 А3М (3) (высокотемпературный, t+160°С) АТФЕ.425119.066 ТУ")</f>
        <v>ИО 102-40 А3М (3) (высокотемпературный, t+160°С) АТФЕ.425119.066 ТУ</v>
      </c>
      <c r="B769" s="6" t="str">
        <f ca="1">IFERROR(__xludf.DUMMYFUNCTION("""COMPUTED_VALUE"""),"Переключающий. Корпус металлический, неразборный, согласно ГОСТ Р 52435, рабочий зазор не менее 14 мм. Металлический рукав из оцинкованной стали.")</f>
        <v>Переключающий. Корпус металлический, неразборный, согласно ГОСТ Р 52435, рабочий зазор не менее 14 мм. Металлический рукав из оцинкованной стали.</v>
      </c>
      <c r="C769" s="9">
        <f ca="1">IFERROR(__xludf.DUMMYFUNCTION("""COMPUTED_VALUE"""),5214.25905)</f>
        <v>5214.2590499999997</v>
      </c>
      <c r="D769" s="6"/>
      <c r="E769" s="8"/>
    </row>
    <row r="770" spans="1:5" ht="63.75">
      <c r="A770" s="5" t="str">
        <f ca="1">IFERROR(__xludf.DUMMYFUNCTION("""COMPUTED_VALUE"""),"ИО 102-40 Б3М (3) (высокотемпературный, t+160°С) АТФЕ.425119.066 ТУ")</f>
        <v>ИО 102-40 Б3М (3) (высокотемпературный, t+160°С) АТФЕ.425119.066 ТУ</v>
      </c>
      <c r="B770" s="6" t="str">
        <f ca="1">IFERROR(__xludf.DUMMYFUNCTION("""COMPUTED_VALUE"""),"Переключающий. Корпус металлический, неразборный, согласно ГОСТ Р 52435, рабочий зазор не менее 14 мм. Металлический рукав из оцинкованной стали.")</f>
        <v>Переключающий. Корпус металлический, неразборный, согласно ГОСТ Р 52435, рабочий зазор не менее 14 мм. Металлический рукав из оцинкованной стали.</v>
      </c>
      <c r="C770" s="9">
        <f ca="1">IFERROR(__xludf.DUMMYFUNCTION("""COMPUTED_VALUE"""),5214.25905)</f>
        <v>5214.2590499999997</v>
      </c>
      <c r="D770" s="6"/>
      <c r="E770" s="8"/>
    </row>
    <row r="771" spans="1:5" ht="63.75">
      <c r="A771" s="5" t="str">
        <f ca="1">IFERROR(__xludf.DUMMYFUNCTION("""COMPUTED_VALUE"""),"ИО 102-40 А3М (4) (высокотемпературный, t+160°С) АТФЕ.425119.066 ТУ")</f>
        <v>ИО 102-40 А3М (4) (высокотемпературный, t+160°С) АТФЕ.425119.066 ТУ</v>
      </c>
      <c r="B771" s="6" t="str">
        <f ca="1">IFERROR(__xludf.DUMMYFUNCTION("""COMPUTED_VALUE"""),"Переключающий. Корпус металлический, неразборный, согласно ГОСТ Р 52435, рабочий зазор не менее 14 мм. Металлический рукав из нержавеющей стали.")</f>
        <v>Переключающий. Корпус металлический, неразборный, согласно ГОСТ Р 52435, рабочий зазор не менее 14 мм. Металлический рукав из нержавеющей стали.</v>
      </c>
      <c r="C771" s="9">
        <f ca="1">IFERROR(__xludf.DUMMYFUNCTION("""COMPUTED_VALUE"""),5395.94055)</f>
        <v>5395.9405500000003</v>
      </c>
      <c r="D771" s="6"/>
      <c r="E771" s="8"/>
    </row>
    <row r="772" spans="1:5" ht="63.75">
      <c r="A772" s="5" t="str">
        <f ca="1">IFERROR(__xludf.DUMMYFUNCTION("""COMPUTED_VALUE"""),"ИО 102-40 Б3М (4) (высокотемпературный, t+160°С) АТФЕ.425119.066 ТУ")</f>
        <v>ИО 102-40 Б3М (4) (высокотемпературный, t+160°С) АТФЕ.425119.066 ТУ</v>
      </c>
      <c r="B772" s="6" t="str">
        <f ca="1">IFERROR(__xludf.DUMMYFUNCTION("""COMPUTED_VALUE"""),"Переключающий. Корпус металлический, неразборный, согласно ГОСТ Р 52435, рабочий зазор не менее 14 мм. Металлический рукав из нержавеющей стали.")</f>
        <v>Переключающий. Корпус металлический, неразборный, согласно ГОСТ Р 52435, рабочий зазор не менее 14 мм. Металлический рукав из нержавеющей стали.</v>
      </c>
      <c r="C772" s="9">
        <f ca="1">IFERROR(__xludf.DUMMYFUNCTION("""COMPUTED_VALUE"""),5395.94055)</f>
        <v>5395.9405500000003</v>
      </c>
      <c r="D772" s="6"/>
      <c r="E772" s="8"/>
    </row>
    <row r="773" spans="1:5" ht="89.25">
      <c r="A773" s="5" t="str">
        <f ca="1">IFERROR(__xludf.DUMMYFUNCTION("""COMPUTED_VALUE"""),"К-20/50 ")</f>
        <v xml:space="preserve">К-20/50 </v>
      </c>
      <c r="B773" s="6" t="str">
        <f ca="1">IFERROR(__xludf.DUMMYFUNCTION("""COMPUTED_VALUE"""),"для изменения положения при монтаже блока магнита или блока датчика извещателей ИО 102-20, ИО 102-50 и сигнализаторов СМК-20.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извещателей ИО 102-20, ИО 102-50 и сигнализаторов СМК-20. Позволяет изменить положение одного из блоков на 90 град. Нержавеющая сталь толщиной 1,5 мм</v>
      </c>
      <c r="C773" s="9">
        <f ca="1">IFERROR(__xludf.DUMMYFUNCTION("""COMPUTED_VALUE"""),396.396)</f>
        <v>396.39600000000002</v>
      </c>
      <c r="D773" s="6"/>
      <c r="E773" s="8"/>
    </row>
    <row r="774" spans="1:5" ht="63.75">
      <c r="A774" s="5" t="str">
        <f ca="1">IFERROR(__xludf.DUMMYFUNCTION("""COMPUTED_VALUE"""),"КР-20/50 Нержавейка")</f>
        <v>КР-20/50 Нержавейка</v>
      </c>
      <c r="B774"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774" s="9">
        <f ca="1">IFERROR(__xludf.DUMMYFUNCTION("""COMPUTED_VALUE"""),650)</f>
        <v>650</v>
      </c>
      <c r="D774" s="6"/>
      <c r="E774" s="8"/>
    </row>
    <row r="775" spans="1:5" ht="38.25">
      <c r="A775" s="5" t="str">
        <f ca="1">IFERROR(__xludf.DUMMYFUNCTION("""COMPUTED_VALUE"""),"ИО 102-50 А2П (1) АТФЕ.425119.066 ТУ")</f>
        <v>ИО 102-50 А2П (1) АТФЕ.425119.066 ТУ</v>
      </c>
      <c r="B775"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75" s="9">
        <f ca="1">IFERROR(__xludf.DUMMYFUNCTION("""COMPUTED_VALUE"""),170.94)</f>
        <v>170.94</v>
      </c>
      <c r="D775" s="6"/>
      <c r="E775" s="8"/>
    </row>
    <row r="776" spans="1:5" ht="38.25">
      <c r="A776" s="5" t="str">
        <f ca="1">IFERROR(__xludf.DUMMYFUNCTION("""COMPUTED_VALUE"""),"ИО 102-50 Б2П (1) АТФЕ.425119.066 ТУ")</f>
        <v>ИО 102-50 Б2П (1) АТФЕ.425119.066 ТУ</v>
      </c>
      <c r="B776"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76" s="9">
        <f ca="1">IFERROR(__xludf.DUMMYFUNCTION("""COMPUTED_VALUE"""),170.94)</f>
        <v>170.94</v>
      </c>
      <c r="D776" s="6"/>
      <c r="E776" s="8"/>
    </row>
    <row r="777" spans="1:5" ht="51">
      <c r="A777" s="5" t="str">
        <f ca="1">IFERROR(__xludf.DUMMYFUNCTION("""COMPUTED_VALUE"""),"ИО 102-50 А2П (2) АТФЕ.425119.066 ТУ")</f>
        <v>ИО 102-50 А2П (2) АТФЕ.425119.066 ТУ</v>
      </c>
      <c r="B777"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77" s="9">
        <f ca="1">IFERROR(__xludf.DUMMYFUNCTION("""COMPUTED_VALUE"""),175.56)</f>
        <v>175.56</v>
      </c>
      <c r="D777" s="6"/>
      <c r="E777" s="8"/>
    </row>
    <row r="778" spans="1:5" ht="51">
      <c r="A778" s="5" t="str">
        <f ca="1">IFERROR(__xludf.DUMMYFUNCTION("""COMPUTED_VALUE"""),"ИО 102-50 Б2П (2) АТФЕ.425119.066 ТУ")</f>
        <v>ИО 102-50 Б2П (2) АТФЕ.425119.066 ТУ</v>
      </c>
      <c r="B778"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78" s="9">
        <f ca="1">IFERROR(__xludf.DUMMYFUNCTION("""COMPUTED_VALUE"""),175.56)</f>
        <v>175.56</v>
      </c>
      <c r="D778" s="6"/>
      <c r="E778" s="8"/>
    </row>
    <row r="779" spans="1:5" ht="51">
      <c r="A779" s="5" t="str">
        <f ca="1">IFERROR(__xludf.DUMMYFUNCTION("""COMPUTED_VALUE"""),"ИО 102-50 А2П (3) АТФЕ.425119.066 ТУ")</f>
        <v>ИО 102-50 А2П (3) АТФЕ.425119.066 ТУ</v>
      </c>
      <c r="B779"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79" s="9">
        <f ca="1">IFERROR(__xludf.DUMMYFUNCTION("""COMPUTED_VALUE"""),232.155)</f>
        <v>232.155</v>
      </c>
      <c r="D779" s="6"/>
      <c r="E779" s="8"/>
    </row>
    <row r="780" spans="1:5" ht="51">
      <c r="A780" s="5" t="str">
        <f ca="1">IFERROR(__xludf.DUMMYFUNCTION("""COMPUTED_VALUE"""),"ИО 102-50 Б2П (3) АТФЕ.425119.066 ТУ")</f>
        <v>ИО 102-50 Б2П (3) АТФЕ.425119.066 ТУ</v>
      </c>
      <c r="B780"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80" s="9">
        <f ca="1">IFERROR(__xludf.DUMMYFUNCTION("""COMPUTED_VALUE"""),232.155)</f>
        <v>232.155</v>
      </c>
      <c r="D780" s="6"/>
      <c r="E780" s="8"/>
    </row>
    <row r="781" spans="1:5" ht="25.5">
      <c r="A781" s="5" t="str">
        <f ca="1">IFERROR(__xludf.DUMMYFUNCTION("""COMPUTED_VALUE"""),"ИО 102-50 А2П В АТФЕ.425119.066 ТУ")</f>
        <v>ИО 102-50 А2П В АТФЕ.425119.066 ТУ</v>
      </c>
      <c r="B781" s="6" t="str">
        <f ca="1">IFERROR(__xludf.DUMMYFUNCTION("""COMPUTED_VALUE"""),"С подключением шлейфа внутри датчика под винт. Рабочий зазор не менее 30мм")</f>
        <v>С подключением шлейфа внутри датчика под винт. Рабочий зазор не менее 30мм</v>
      </c>
      <c r="C781" s="9">
        <f ca="1">IFERROR(__xludf.DUMMYFUNCTION("""COMPUTED_VALUE"""),261.03)</f>
        <v>261.02999999999997</v>
      </c>
      <c r="D781" s="6"/>
      <c r="E781" s="8"/>
    </row>
    <row r="782" spans="1:5" ht="25.5">
      <c r="A782" s="5" t="str">
        <f ca="1">IFERROR(__xludf.DUMMYFUNCTION("""COMPUTED_VALUE"""),"ИО 102-50 Б2П В АТФЕ.425119.066 ТУ")</f>
        <v>ИО 102-50 Б2П В АТФЕ.425119.066 ТУ</v>
      </c>
      <c r="B782" s="6" t="str">
        <f ca="1">IFERROR(__xludf.DUMMYFUNCTION("""COMPUTED_VALUE"""),"С подключением шлейфа внутри датчика под винт. Рабочий зазор не менее 30мм")</f>
        <v>С подключением шлейфа внутри датчика под винт. Рабочий зазор не менее 30мм</v>
      </c>
      <c r="C782" s="9">
        <f ca="1">IFERROR(__xludf.DUMMYFUNCTION("""COMPUTED_VALUE"""),258.72)</f>
        <v>258.72000000000003</v>
      </c>
      <c r="D782" s="6"/>
      <c r="E782" s="8"/>
    </row>
    <row r="783" spans="1:5" ht="51">
      <c r="A783" s="5" t="str">
        <f ca="1">IFERROR(__xludf.DUMMYFUNCTION("""COMPUTED_VALUE"""),"ИО 102-50 А2М (3) АТФЕ.425119.066 ТУ")</f>
        <v>ИО 102-50 А2М (3) АТФЕ.425119.066 ТУ</v>
      </c>
      <c r="B783" s="6" t="str">
        <f ca="1">IFERROR(__xludf.DUMMYFUNCTION("""COMPUTED_VALUE"""),"Корпус металлический, неразборный, согласно ГОСТ Р 52435,рабочий зазор не менее 30 мм. Металлический рукав. Вандалозащищенный.")</f>
        <v>Корпус металлический, неразборный, согласно ГОСТ Р 52435,рабочий зазор не менее 30 мм. Металлический рукав. Вандалозащищенный.</v>
      </c>
      <c r="C783" s="9">
        <f ca="1">IFERROR(__xludf.DUMMYFUNCTION("""COMPUTED_VALUE"""),608.685)</f>
        <v>608.68499999999995</v>
      </c>
      <c r="D783" s="6"/>
      <c r="E783" s="8"/>
    </row>
    <row r="784" spans="1:5" ht="51">
      <c r="A784" s="5" t="str">
        <f ca="1">IFERROR(__xludf.DUMMYFUNCTION("""COMPUTED_VALUE"""),"ИО 102-50 Б2М (3) АТФЕ.425119.066 ТУ")</f>
        <v>ИО 102-50 Б2М (3) АТФЕ.425119.066 ТУ</v>
      </c>
      <c r="B784" s="6" t="str">
        <f ca="1">IFERROR(__xludf.DUMMYFUNCTION("""COMPUTED_VALUE"""),"Корпус металлический, неразборный, согласно ГОСТ Р 52435,рабочий зазор не менее 30 мм. Металлический рукав. Вандалозащищенный.")</f>
        <v>Корпус металлический, неразборный, согласно ГОСТ Р 52435,рабочий зазор не менее 30 мм. Металлический рукав. Вандалозащищенный.</v>
      </c>
      <c r="C784" s="9">
        <f ca="1">IFERROR(__xludf.DUMMYFUNCTION("""COMPUTED_VALUE"""),568.26)</f>
        <v>568.26</v>
      </c>
      <c r="D784" s="6"/>
      <c r="E784" s="8"/>
    </row>
    <row r="785" spans="1:5" ht="12.75">
      <c r="A785" s="5" t="str">
        <f ca="1">IFERROR(__xludf.DUMMYFUNCTION("""COMPUTED_VALUE"""),"ИО 102-50 А2М (4) АТФЕ.425119.066 ТУ")</f>
        <v>ИО 102-50 А2М (4) АТФЕ.425119.066 ТУ</v>
      </c>
      <c r="B785" s="6" t="str">
        <f ca="1">IFERROR(__xludf.DUMMYFUNCTION("""COMPUTED_VALUE"""),"металлорукав из нержавеющей стали")</f>
        <v>металлорукав из нержавеющей стали</v>
      </c>
      <c r="C785" s="9">
        <f ca="1">IFERROR(__xludf.DUMMYFUNCTION("""COMPUTED_VALUE"""),646.8)</f>
        <v>646.79999999999995</v>
      </c>
      <c r="D785" s="6"/>
      <c r="E785" s="8"/>
    </row>
    <row r="786" spans="1:5" ht="12.75">
      <c r="A786" s="5" t="str">
        <f ca="1">IFERROR(__xludf.DUMMYFUNCTION("""COMPUTED_VALUE"""),"ИО 102-50 Б2М (4) АТФЕ.425119.066 ТУ")</f>
        <v>ИО 102-50 Б2М (4) АТФЕ.425119.066 ТУ</v>
      </c>
      <c r="B786" s="6" t="str">
        <f ca="1">IFERROR(__xludf.DUMMYFUNCTION("""COMPUTED_VALUE"""),"металлорукав из нержавеющей стали")</f>
        <v>металлорукав из нержавеющей стали</v>
      </c>
      <c r="C786" s="9">
        <f ca="1">IFERROR(__xludf.DUMMYFUNCTION("""COMPUTED_VALUE"""),600.6)</f>
        <v>600.6</v>
      </c>
      <c r="D786" s="6"/>
      <c r="E786" s="8"/>
    </row>
    <row r="787" spans="1:5" ht="63.75">
      <c r="A787" s="5" t="str">
        <f ca="1">IFERROR(__xludf.DUMMYFUNCTION("""COMPUTED_VALUE"""),"ИО 102-50 А3П (1) АТФЕ.425119.066 ТУ")</f>
        <v>ИО 102-50 А3П (1) АТФЕ.425119.066 ТУ</v>
      </c>
      <c r="B787"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87" s="9">
        <f ca="1">IFERROR(__xludf.DUMMYFUNCTION("""COMPUTED_VALUE"""),396.165)</f>
        <v>396.16500000000002</v>
      </c>
      <c r="D787" s="6"/>
      <c r="E787" s="8"/>
    </row>
    <row r="788" spans="1:5" ht="63.75">
      <c r="A788" s="5" t="str">
        <f ca="1">IFERROR(__xludf.DUMMYFUNCTION("""COMPUTED_VALUE"""),"ИО 102-50 Б3П (1) АТФЕ.425119.066 ТУ")</f>
        <v>ИО 102-50 Б3П (1) АТФЕ.425119.066 ТУ</v>
      </c>
      <c r="B788"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88" s="9">
        <f ca="1">IFERROR(__xludf.DUMMYFUNCTION("""COMPUTED_VALUE"""),381.15)</f>
        <v>381.15</v>
      </c>
      <c r="D788" s="6"/>
      <c r="E788" s="8"/>
    </row>
    <row r="789" spans="1:5" ht="63.75">
      <c r="A789" s="5" t="str">
        <f ca="1">IFERROR(__xludf.DUMMYFUNCTION("""COMPUTED_VALUE"""),"ИО 102-50 А3П (2) АТФЕ.425119.066 ТУ")</f>
        <v>ИО 102-50 А3П (2) АТФЕ.425119.066 ТУ</v>
      </c>
      <c r="B789"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89" s="9">
        <f ca="1">IFERROR(__xludf.DUMMYFUNCTION("""COMPUTED_VALUE"""),401.94)</f>
        <v>401.94</v>
      </c>
      <c r="D789" s="6"/>
      <c r="E789" s="8"/>
    </row>
    <row r="790" spans="1:5" ht="63.75">
      <c r="A790" s="5" t="str">
        <f ca="1">IFERROR(__xludf.DUMMYFUNCTION("""COMPUTED_VALUE"""),"ИО 102-50 Б3П (2) АТФЕ.425119.066 ТУ")</f>
        <v>ИО 102-50 Б3П (2) АТФЕ.425119.066 ТУ</v>
      </c>
      <c r="B790"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90" s="9">
        <f ca="1">IFERROR(__xludf.DUMMYFUNCTION("""COMPUTED_VALUE"""),390.39)</f>
        <v>390.39</v>
      </c>
      <c r="D790" s="6"/>
      <c r="E790" s="8"/>
    </row>
    <row r="791" spans="1:5" ht="63.75">
      <c r="A791" s="5" t="str">
        <f ca="1">IFERROR(__xludf.DUMMYFUNCTION("""COMPUTED_VALUE"""),"ИО 102-50 А3П (3) АТФЕ.425119.066 ТУ")</f>
        <v>ИО 102-50 А3П (3) АТФЕ.425119.066 ТУ</v>
      </c>
      <c r="B791"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91" s="9">
        <f ca="1">IFERROR(__xludf.DUMMYFUNCTION("""COMPUTED_VALUE"""),508.2)</f>
        <v>508.2</v>
      </c>
      <c r="D791" s="6"/>
      <c r="E791" s="8"/>
    </row>
    <row r="792" spans="1:5" ht="63.75">
      <c r="A792" s="5" t="str">
        <f ca="1">IFERROR(__xludf.DUMMYFUNCTION("""COMPUTED_VALUE"""),"ИО 102-50 Б3П (3) АТФЕ.425119.066 ТУ")</f>
        <v>ИО 102-50 Б3П (3) АТФЕ.425119.066 ТУ</v>
      </c>
      <c r="B792"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92" s="9">
        <f ca="1">IFERROR(__xludf.DUMMYFUNCTION("""COMPUTED_VALUE"""),508.2)</f>
        <v>508.2</v>
      </c>
      <c r="D792" s="6"/>
      <c r="E792" s="8"/>
    </row>
    <row r="793" spans="1:5" ht="63.75">
      <c r="A793" s="5" t="str">
        <f ca="1">IFERROR(__xludf.DUMMYFUNCTION("""COMPUTED_VALUE"""),"ИО 102-50 А3М (3) АТФЕ.425119.066 ТУ")</f>
        <v>ИО 102-50 А3М (3) АТФЕ.425119.066 ТУ</v>
      </c>
      <c r="B793"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93" s="9">
        <f ca="1">IFERROR(__xludf.DUMMYFUNCTION("""COMPUTED_VALUE"""),1026.1713)</f>
        <v>1026.1713</v>
      </c>
      <c r="D793" s="6"/>
      <c r="E793" s="8"/>
    </row>
    <row r="794" spans="1:5" ht="63.75">
      <c r="A794" s="5" t="str">
        <f ca="1">IFERROR(__xludf.DUMMYFUNCTION("""COMPUTED_VALUE"""),"ИО 102-50 Б3М (3) АТФЕ.425119.066 ТУ")</f>
        <v>ИО 102-50 Б3М (3) АТФЕ.425119.066 ТУ</v>
      </c>
      <c r="B794"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94" s="9">
        <f ca="1">IFERROR(__xludf.DUMMYFUNCTION("""COMPUTED_VALUE"""),981.1725)</f>
        <v>981.17250000000001</v>
      </c>
      <c r="D794" s="6"/>
      <c r="E794" s="8"/>
    </row>
    <row r="795" spans="1:5" ht="25.5">
      <c r="A795" s="5" t="str">
        <f ca="1">IFERROR(__xludf.DUMMYFUNCTION("""COMPUTED_VALUE"""),"ИО 102-50 А3М (4) АТФЕ.425119.066 ТУ")</f>
        <v>ИО 102-50 А3М (4) АТФЕ.425119.066 ТУ</v>
      </c>
      <c r="B795" s="6" t="str">
        <f ca="1">IFERROR(__xludf.DUMMYFUNCTION("""COMPUTED_VALUE"""),"Переключающие, металлорукав из нержавеющей стали")</f>
        <v>Переключающие, металлорукав из нержавеющей стали</v>
      </c>
      <c r="C795" s="9">
        <f ca="1">IFERROR(__xludf.DUMMYFUNCTION("""COMPUTED_VALUE"""),1062.6)</f>
        <v>1062.5999999999999</v>
      </c>
      <c r="D795" s="6"/>
      <c r="E795" s="8"/>
    </row>
    <row r="796" spans="1:5" ht="25.5">
      <c r="A796" s="5" t="str">
        <f ca="1">IFERROR(__xludf.DUMMYFUNCTION("""COMPUTED_VALUE"""),"ИО 102-50 Б3М (4) АТФЕ.425119.066 ТУ")</f>
        <v>ИО 102-50 Б3М (4) АТФЕ.425119.066 ТУ</v>
      </c>
      <c r="B796" s="6" t="str">
        <f ca="1">IFERROR(__xludf.DUMMYFUNCTION("""COMPUTED_VALUE"""),"Переключающие, металлорукав из нержавеющей стали")</f>
        <v>Переключающие, металлорукав из нержавеющей стали</v>
      </c>
      <c r="C796" s="9">
        <f ca="1">IFERROR(__xludf.DUMMYFUNCTION("""COMPUTED_VALUE"""),1016.4)</f>
        <v>1016.4</v>
      </c>
      <c r="D796" s="6"/>
      <c r="E796" s="8"/>
    </row>
    <row r="797" spans="1:5" ht="38.25">
      <c r="A797" s="5" t="str">
        <f ca="1">IFERROR(__xludf.DUMMYFUNCTION("""COMPUTED_VALUE"""),"ИО 102-50 Б2П ""Антисаботаж"" АТФЕ.425119.066 ТУ")</f>
        <v>ИО 102-50 Б2П "Антисаботаж" АТФЕ.425119.066 ТУ</v>
      </c>
      <c r="B797"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97" s="9">
        <f ca="1">IFERROR(__xludf.DUMMYFUNCTION("""COMPUTED_VALUE"""),396.98505)</f>
        <v>396.98505</v>
      </c>
      <c r="D797" s="6"/>
      <c r="E797" s="8"/>
    </row>
    <row r="798" spans="1:5" ht="51">
      <c r="A798" s="5" t="str">
        <f ca="1">IFERROR(__xludf.DUMMYFUNCTION("""COMPUTED_VALUE"""),"ИО 102-50 Б2М ""Антисаботаж"" АТФЕ.425119.066 ТУ")</f>
        <v>ИО 102-50 Б2М "Антисаботаж" АТФЕ.425119.066 ТУ</v>
      </c>
      <c r="B798" s="6" t="str">
        <f ca="1">IFERROR(__xludf.DUMMYFUNCTION("""COMPUTED_VALUE"""),"Корпус металлический, неразборный, согласно ГОСТ Р 52435,рабочий зазор не менее 30 мм. Без защитного рукава. Вандалозащищенный.")</f>
        <v>Корпус металлический, неразборный, согласно ГОСТ Р 52435,рабочий зазор не менее 30 мм. Без защитного рукава. Вандалозащищенный.</v>
      </c>
      <c r="C798" s="9">
        <f ca="1">IFERROR(__xludf.DUMMYFUNCTION("""COMPUTED_VALUE"""),984.5913)</f>
        <v>984.59130000000005</v>
      </c>
      <c r="D798" s="6"/>
      <c r="E798" s="8"/>
    </row>
    <row r="799" spans="1:5" ht="38.25">
      <c r="A799" s="5" t="str">
        <f ca="1">IFERROR(__xludf.DUMMYFUNCTION("""COMPUTED_VALUE"""),"ИО 102-20 А2П (1)")</f>
        <v>ИО 102-20 А2П (1)</v>
      </c>
      <c r="B799" s="6" t="str">
        <f ca="1">IFERROR(__xludf.DUMMYFUNCTION("""COMPUTED_VALUE"""),"корпус пластмассовый, неразборный, рабочий зазор не менее 30 мм, без защитного гофрорукава")</f>
        <v>корпус пластмассовый, неразборный, рабочий зазор не менее 30 мм, без защитного гофрорукава</v>
      </c>
      <c r="C799" s="9">
        <f ca="1">IFERROR(__xludf.DUMMYFUNCTION("""COMPUTED_VALUE"""),172.095)</f>
        <v>172.095</v>
      </c>
      <c r="D799" s="6"/>
      <c r="E799" s="8"/>
    </row>
    <row r="800" spans="1:5" ht="38.25">
      <c r="A800" s="5" t="str">
        <f ca="1">IFERROR(__xludf.DUMMYFUNCTION("""COMPUTED_VALUE"""),"ИО 102-20 Б2П (1)")</f>
        <v>ИО 102-20 Б2П (1)</v>
      </c>
      <c r="B800" s="6" t="str">
        <f ca="1">IFERROR(__xludf.DUMMYFUNCTION("""COMPUTED_VALUE"""),"корпус пластмассовый, неразборный, рабочий зазор не менее 30 мм, без защитного гофрорукава")</f>
        <v>корпус пластмассовый, неразборный, рабочий зазор не менее 30 мм, без защитного гофрорукава</v>
      </c>
      <c r="C800" s="9">
        <f ca="1">IFERROR(__xludf.DUMMYFUNCTION("""COMPUTED_VALUE"""),172.095)</f>
        <v>172.095</v>
      </c>
      <c r="D800" s="6"/>
      <c r="E800" s="8"/>
    </row>
    <row r="801" spans="1:5" ht="38.25">
      <c r="A801" s="5" t="str">
        <f ca="1">IFERROR(__xludf.DUMMYFUNCTION("""COMPUTED_VALUE"""),"ИО 102-20 А2П (2)")</f>
        <v>ИО 102-20 А2П (2)</v>
      </c>
      <c r="B801"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1" s="9">
        <f ca="1">IFERROR(__xludf.DUMMYFUNCTION("""COMPUTED_VALUE"""),176.715)</f>
        <v>176.715</v>
      </c>
      <c r="D801" s="6"/>
      <c r="E801" s="8"/>
    </row>
    <row r="802" spans="1:5" ht="38.25">
      <c r="A802" s="5" t="str">
        <f ca="1">IFERROR(__xludf.DUMMYFUNCTION("""COMPUTED_VALUE"""),"ИО 102-20 Б2П (2)")</f>
        <v>ИО 102-20 Б2П (2)</v>
      </c>
      <c r="B802"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2" s="9">
        <f ca="1">IFERROR(__xludf.DUMMYFUNCTION("""COMPUTED_VALUE"""),176.715)</f>
        <v>176.715</v>
      </c>
      <c r="D802" s="6"/>
      <c r="E802" s="8"/>
    </row>
    <row r="803" spans="1:5" ht="38.25">
      <c r="A803" s="5" t="str">
        <f ca="1">IFERROR(__xludf.DUMMYFUNCTION("""COMPUTED_VALUE"""),"ИО 102-20 А2П (3)")</f>
        <v>ИО 102-20 А2П (3)</v>
      </c>
      <c r="B803" s="6" t="str">
        <f ca="1">IFERROR(__xludf.DUMMYFUNCTION("""COMPUTED_VALUE"""),"корпус пластмассовый, неразборный, рабочий зазор не менее 30 мм, металлический защитный гофрорукав")</f>
        <v>корпус пластмассовый, неразборный, рабочий зазор не менее 30 мм, металлический защитный гофрорукав</v>
      </c>
      <c r="C803" s="9">
        <f ca="1">IFERROR(__xludf.DUMMYFUNCTION("""COMPUTED_VALUE"""),242.55)</f>
        <v>242.55</v>
      </c>
      <c r="D803" s="6"/>
      <c r="E803" s="8"/>
    </row>
    <row r="804" spans="1:5" ht="38.25">
      <c r="A804" s="5" t="str">
        <f ca="1">IFERROR(__xludf.DUMMYFUNCTION("""COMPUTED_VALUE"""),"ИО 102-20 Б2П (3)")</f>
        <v>ИО 102-20 Б2П (3)</v>
      </c>
      <c r="B804" s="6" t="str">
        <f ca="1">IFERROR(__xludf.DUMMYFUNCTION("""COMPUTED_VALUE"""),"корпус пластмассовый, неразборный, рабочий зазор не менее 30 мм, металлический защитный гофрорукав")</f>
        <v>корпус пластмассовый, неразборный, рабочий зазор не менее 30 мм, металлический защитный гофрорукав</v>
      </c>
      <c r="C804" s="9">
        <f ca="1">IFERROR(__xludf.DUMMYFUNCTION("""COMPUTED_VALUE"""),242.55)</f>
        <v>242.55</v>
      </c>
      <c r="D804" s="6"/>
      <c r="E804" s="8"/>
    </row>
    <row r="805" spans="1:5" ht="38.25">
      <c r="A805" s="5" t="str">
        <f ca="1">IFERROR(__xludf.DUMMYFUNCTION("""COMPUTED_VALUE"""),"ИО 102-20 А2П В")</f>
        <v>ИО 102-20 А2П В</v>
      </c>
      <c r="B805"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5" s="9">
        <f ca="1">IFERROR(__xludf.DUMMYFUNCTION("""COMPUTED_VALUE"""),242.55)</f>
        <v>242.55</v>
      </c>
      <c r="D805" s="6"/>
      <c r="E805" s="8"/>
    </row>
    <row r="806" spans="1:5" ht="38.25">
      <c r="A806" s="5" t="str">
        <f ca="1">IFERROR(__xludf.DUMMYFUNCTION("""COMPUTED_VALUE"""),"ИО 102-20 Б2П В")</f>
        <v>ИО 102-20 Б2П В</v>
      </c>
      <c r="B806"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6" s="9">
        <f ca="1">IFERROR(__xludf.DUMMYFUNCTION("""COMPUTED_VALUE"""),242.55)</f>
        <v>242.55</v>
      </c>
      <c r="D806" s="6"/>
      <c r="E806" s="8"/>
    </row>
    <row r="807" spans="1:5" ht="38.25">
      <c r="A807" s="5" t="str">
        <f ca="1">IFERROR(__xludf.DUMMYFUNCTION("""COMPUTED_VALUE"""),"ИО 102-20 А2М (3)")</f>
        <v>ИО 102-20 А2М (3)</v>
      </c>
      <c r="B807" s="6" t="str">
        <f ca="1">IFERROR(__xludf.DUMMYFUNCTION("""COMPUTED_VALUE"""),"корпус металлический, неразборный, рабочий зазор не менее 30 мм, металлический защитный гофрорукав")</f>
        <v>корпус металлический, неразборный, рабочий зазор не менее 30 мм, металлический защитный гофрорукав</v>
      </c>
      <c r="C807" s="9">
        <f ca="1">IFERROR(__xludf.DUMMYFUNCTION("""COMPUTED_VALUE"""),610.995)</f>
        <v>610.995</v>
      </c>
      <c r="D807" s="6"/>
      <c r="E807" s="8"/>
    </row>
    <row r="808" spans="1:5" ht="38.25">
      <c r="A808" s="5" t="str">
        <f ca="1">IFERROR(__xludf.DUMMYFUNCTION("""COMPUTED_VALUE"""),"ИО 102-20 Б2М (3)")</f>
        <v>ИО 102-20 Б2М (3)</v>
      </c>
      <c r="B808" s="6" t="str">
        <f ca="1">IFERROR(__xludf.DUMMYFUNCTION("""COMPUTED_VALUE"""),"корпус металлический, неразборный, рабочий зазор не менее 30 мм, металлический защитный гофрорукав")</f>
        <v>корпус металлический, неразборный, рабочий зазор не менее 30 мм, металлический защитный гофрорукав</v>
      </c>
      <c r="C808" s="9">
        <f ca="1">IFERROR(__xludf.DUMMYFUNCTION("""COMPUTED_VALUE"""),571.725)</f>
        <v>571.72500000000002</v>
      </c>
      <c r="D808" s="6"/>
      <c r="E808" s="8"/>
    </row>
    <row r="809" spans="1:5" ht="12.75">
      <c r="A809" s="5" t="str">
        <f ca="1">IFERROR(__xludf.DUMMYFUNCTION("""COMPUTED_VALUE"""),"ИО 102-20 А2М (4)")</f>
        <v>ИО 102-20 А2М (4)</v>
      </c>
      <c r="B809" s="6" t="str">
        <f ca="1">IFERROR(__xludf.DUMMYFUNCTION("""COMPUTED_VALUE"""),"металлорукав из нержавеющей стали")</f>
        <v>металлорукав из нержавеющей стали</v>
      </c>
      <c r="C809" s="9">
        <f ca="1">IFERROR(__xludf.DUMMYFUNCTION("""COMPUTED_VALUE"""),646.8)</f>
        <v>646.79999999999995</v>
      </c>
      <c r="D809" s="6"/>
      <c r="E809" s="8"/>
    </row>
    <row r="810" spans="1:5" ht="12.75">
      <c r="A810" s="5" t="str">
        <f ca="1">IFERROR(__xludf.DUMMYFUNCTION("""COMPUTED_VALUE"""),"ИО 102-20 Б2М (4)")</f>
        <v>ИО 102-20 Б2М (4)</v>
      </c>
      <c r="B810" s="6" t="str">
        <f ca="1">IFERROR(__xludf.DUMMYFUNCTION("""COMPUTED_VALUE"""),"металлорукав из нержавеющей стали")</f>
        <v>металлорукав из нержавеющей стали</v>
      </c>
      <c r="C810" s="9">
        <f ca="1">IFERROR(__xludf.DUMMYFUNCTION("""COMPUTED_VALUE"""),612.15)</f>
        <v>612.15</v>
      </c>
      <c r="D810" s="6"/>
      <c r="E810" s="8"/>
    </row>
    <row r="811" spans="1:5" ht="51">
      <c r="A811" s="5" t="str">
        <f ca="1">IFERROR(__xludf.DUMMYFUNCTION("""COMPUTED_VALUE"""),"ИО 102-20 А3П (1)")</f>
        <v>ИО 102-20 А3П (1)</v>
      </c>
      <c r="B811" s="6" t="str">
        <f ca="1">IFERROR(__xludf.DUMMYFUNCTION("""COMPUTED_VALUE"""),"переключающие, рабочий зазор не менее 14 мм, корпус пластмассовый, неразборный, без защитного гофрорукава")</f>
        <v>переключающие, рабочий зазор не менее 14 мм, корпус пластмассовый, неразборный, без защитного гофрорукава</v>
      </c>
      <c r="C811" s="9">
        <f ca="1">IFERROR(__xludf.DUMMYFUNCTION("""COMPUTED_VALUE"""),397.32)</f>
        <v>397.32</v>
      </c>
      <c r="D811" s="6"/>
      <c r="E811" s="8"/>
    </row>
    <row r="812" spans="1:5" ht="51">
      <c r="A812" s="5" t="str">
        <f ca="1">IFERROR(__xludf.DUMMYFUNCTION("""COMPUTED_VALUE"""),"ИО 102-20 Б3П (1)")</f>
        <v>ИО 102-20 Б3П (1)</v>
      </c>
      <c r="B812" s="6" t="str">
        <f ca="1">IFERROR(__xludf.DUMMYFUNCTION("""COMPUTED_VALUE"""),"переключающие, рабочий зазор не менее 14 мм, корпус пластмассовый, неразборный, без защитного гофрорукава")</f>
        <v>переключающие, рабочий зазор не менее 14 мм, корпус пластмассовый, неразборный, без защитного гофрорукава</v>
      </c>
      <c r="C812" s="9">
        <f ca="1">IFERROR(__xludf.DUMMYFUNCTION("""COMPUTED_VALUE"""),385.77)</f>
        <v>385.77</v>
      </c>
      <c r="D812" s="6"/>
      <c r="E812" s="8"/>
    </row>
    <row r="813" spans="1:5" ht="51">
      <c r="A813" s="5" t="str">
        <f ca="1">IFERROR(__xludf.DUMMYFUNCTION("""COMPUTED_VALUE"""),"ИО 102-20 А3П (2)")</f>
        <v>ИО 102-20 А3П (2)</v>
      </c>
      <c r="B813" s="6" t="str">
        <f ca="1">IFERROR(__xludf.DUMMYFUNCTION("""COMPUTED_VALUE"""),"переключающие, рабочий зазор не менее 14 мм, корпус пластмассовый, неразборный, пластмассовый защитный гофрорукав")</f>
        <v>переключающие, рабочий зазор не менее 14 мм, корпус пластмассовый, неразборный, пластмассовый защитный гофрорукав</v>
      </c>
      <c r="C813" s="9">
        <f ca="1">IFERROR(__xludf.DUMMYFUNCTION("""COMPUTED_VALUE"""),404.25)</f>
        <v>404.25</v>
      </c>
      <c r="D813" s="6"/>
      <c r="E813" s="8"/>
    </row>
    <row r="814" spans="1:5" ht="51">
      <c r="A814" s="5" t="str">
        <f ca="1">IFERROR(__xludf.DUMMYFUNCTION("""COMPUTED_VALUE"""),"ИО 102-20 Б3П (2)")</f>
        <v>ИО 102-20 Б3П (2)</v>
      </c>
      <c r="B814" s="6" t="str">
        <f ca="1">IFERROR(__xludf.DUMMYFUNCTION("""COMPUTED_VALUE"""),"переключающие, рабочий зазор не менее 14 мм, корпус пластмассовый, неразборный, пластмассовый защитный гофрорукав")</f>
        <v>переключающие, рабочий зазор не менее 14 мм, корпус пластмассовый, неразборный, пластмассовый защитный гофрорукав</v>
      </c>
      <c r="C814" s="9">
        <f ca="1">IFERROR(__xludf.DUMMYFUNCTION("""COMPUTED_VALUE"""),393.855)</f>
        <v>393.85500000000002</v>
      </c>
      <c r="D814" s="6"/>
      <c r="E814" s="8"/>
    </row>
    <row r="815" spans="1:5" ht="51">
      <c r="A815" s="5" t="str">
        <f ca="1">IFERROR(__xludf.DUMMYFUNCTION("""COMPUTED_VALUE"""),"ИО 102-20 А3П (3)")</f>
        <v>ИО 102-20 А3П (3)</v>
      </c>
      <c r="B815" s="6" t="str">
        <f ca="1">IFERROR(__xludf.DUMMYFUNCTION("""COMPUTED_VALUE"""),"переключающие, рабочий зазор не менее 14 мм, корпус пластмассовый, неразборный, металлический защитный гофрорукав")</f>
        <v>переключающие, рабочий зазор не менее 14 мм, корпус пластмассовый, неразборный, металлический защитный гофрорукав</v>
      </c>
      <c r="C815" s="9">
        <f ca="1">IFERROR(__xludf.DUMMYFUNCTION("""COMPUTED_VALUE"""),498.96)</f>
        <v>498.96</v>
      </c>
      <c r="D815" s="6"/>
      <c r="E815" s="8"/>
    </row>
    <row r="816" spans="1:5" ht="51">
      <c r="A816" s="5" t="str">
        <f ca="1">IFERROR(__xludf.DUMMYFUNCTION("""COMPUTED_VALUE"""),"ИО 102-20 Б3П (3)")</f>
        <v>ИО 102-20 Б3П (3)</v>
      </c>
      <c r="B816" s="6" t="str">
        <f ca="1">IFERROR(__xludf.DUMMYFUNCTION("""COMPUTED_VALUE"""),"переключающие, рабочий зазор не менее 14 мм, корпус пластмассовый, неразборный, металлический защитный гофрорукав")</f>
        <v>переключающие, рабочий зазор не менее 14 мм, корпус пластмассовый, неразборный, металлический защитный гофрорукав</v>
      </c>
      <c r="C816" s="9">
        <f ca="1">IFERROR(__xludf.DUMMYFUNCTION("""COMPUTED_VALUE"""),493.185)</f>
        <v>493.185</v>
      </c>
      <c r="D816" s="6"/>
      <c r="E816" s="8"/>
    </row>
    <row r="817" spans="1:5" ht="51">
      <c r="A817" s="5" t="str">
        <f ca="1">IFERROR(__xludf.DUMMYFUNCTION("""COMPUTED_VALUE"""),"ИО 102-20 А3М (3)")</f>
        <v>ИО 102-20 А3М (3)</v>
      </c>
      <c r="B817" s="6" t="str">
        <f ca="1">IFERROR(__xludf.DUMMYFUNCTION("""COMPUTED_VALUE"""),"переключающие, рабочий зазор не менее 14 мм, корпус металлический, неразборный, металлический защитный гофрорукав")</f>
        <v>переключающие, рабочий зазор не менее 14 мм, корпус металлический, неразборный, металлический защитный гофрорукав</v>
      </c>
      <c r="C817" s="9">
        <f ca="1">IFERROR(__xludf.DUMMYFUNCTION("""COMPUTED_VALUE"""),961.2603)</f>
        <v>961.26030000000003</v>
      </c>
      <c r="D817" s="6"/>
      <c r="E817" s="8"/>
    </row>
    <row r="818" spans="1:5" ht="51">
      <c r="A818" s="5" t="str">
        <f ca="1">IFERROR(__xludf.DUMMYFUNCTION("""COMPUTED_VALUE"""),"ИО 102-20 Б3М (3)")</f>
        <v>ИО 102-20 Б3М (3)</v>
      </c>
      <c r="B818" s="6" t="str">
        <f ca="1">IFERROR(__xludf.DUMMYFUNCTION("""COMPUTED_VALUE"""),"переключающие, рабочий зазор не менее 14 мм, корпус металлический, неразборный, металлический защитный гофрорукав")</f>
        <v>переключающие, рабочий зазор не менее 14 мм, корпус металлический, неразборный, металлический защитный гофрорукав</v>
      </c>
      <c r="C818" s="9">
        <f ca="1">IFERROR(__xludf.DUMMYFUNCTION("""COMPUTED_VALUE"""),916.66575)</f>
        <v>916.66575</v>
      </c>
      <c r="D818" s="6"/>
      <c r="E818" s="8"/>
    </row>
    <row r="819" spans="1:5" ht="25.5">
      <c r="A819" s="5" t="str">
        <f ca="1">IFERROR(__xludf.DUMMYFUNCTION("""COMPUTED_VALUE"""),"ИО 102-20 А3М (4)")</f>
        <v>ИО 102-20 А3М (4)</v>
      </c>
      <c r="B819" s="6" t="str">
        <f ca="1">IFERROR(__xludf.DUMMYFUNCTION("""COMPUTED_VALUE"""),"Переключающие, металлорукав из нержавеющей стали")</f>
        <v>Переключающие, металлорукав из нержавеющей стали</v>
      </c>
      <c r="C819" s="9">
        <f ca="1">IFERROR(__xludf.DUMMYFUNCTION("""COMPUTED_VALUE"""),993.3)</f>
        <v>993.3</v>
      </c>
      <c r="D819" s="6"/>
      <c r="E819" s="8"/>
    </row>
    <row r="820" spans="1:5" ht="25.5">
      <c r="A820" s="5" t="str">
        <f ca="1">IFERROR(__xludf.DUMMYFUNCTION("""COMPUTED_VALUE"""),"ИО 102-20 Б3М (4)")</f>
        <v>ИО 102-20 Б3М (4)</v>
      </c>
      <c r="B820" s="6" t="str">
        <f ca="1">IFERROR(__xludf.DUMMYFUNCTION("""COMPUTED_VALUE"""),"Переключающие, металлорукав из нержавеющей стали")</f>
        <v>Переключающие, металлорукав из нержавеющей стали</v>
      </c>
      <c r="C820" s="9">
        <f ca="1">IFERROR(__xludf.DUMMYFUNCTION("""COMPUTED_VALUE"""),952.875)</f>
        <v>952.875</v>
      </c>
      <c r="D820" s="6"/>
      <c r="E820" s="8"/>
    </row>
    <row r="821" spans="1:5" ht="114.75">
      <c r="A821" s="5" t="str">
        <f ca="1">IFERROR(__xludf.DUMMYFUNCTION("""COMPUTED_VALUE"""),"ИО 102-40К исп.01 IP55 АТФЕ.425119.075")</f>
        <v>ИО 102-40К исп.01 IP55 АТФЕ.425119.075</v>
      </c>
      <c r="B821" s="6" t="str">
        <f ca="1">IFERROR(__xludf.DUMMYFUNCTION("""COMPUTED_VALUE"""),"Извещатель охранный точечный магнитоконтактный, для блокировки канализационных люков. Металлический корпус, вывод 400 мм (КСПВГ 2х0,2 Ø3мм), геркон НР. Покрытие корпусов вандалоустойчивыми красками: Антик, Антик серебряный, порошковые - +150 руб., покрыти"&amp;"е простыми красками - + 100руб.")</f>
        <v>Извещатель охранный точечный магнитоконтактный, для блокировки канализационных люков. Металлический корпус, вывод 400 мм (КСПВГ 2х0,2 Ø3мм), геркон НР. Покрытие корпусов вандалоустойчивыми красками: Антик, Антик серебряный, порошковые - +150 руб., покрытие простыми красками - + 100руб.</v>
      </c>
      <c r="C821" s="9">
        <f ca="1">IFERROR(__xludf.DUMMYFUNCTION("""COMPUTED_VALUE"""),1511.5947)</f>
        <v>1511.5947000000001</v>
      </c>
      <c r="D821" s="6"/>
      <c r="E821" s="8"/>
    </row>
    <row r="822" spans="1:5" ht="114.75">
      <c r="A822" s="5" t="str">
        <f ca="1">IFERROR(__xludf.DUMMYFUNCTION("""COMPUTED_VALUE"""),"ИО 102-40К исп.02 IP55 АТФЕ.425119.075")</f>
        <v>ИО 102-40К исп.02 IP55 АТФЕ.425119.075</v>
      </c>
      <c r="B822" s="6" t="str">
        <f ca="1">IFERROR(__xludf.DUMMYFUNCTION("""COMPUTED_VALUE"""),"Извещатель охранный точечный магнитоконтактный, для блокировки канализационных люков. Металлический корпус, вывод 400 мм (КСПВГ 4х0,2 Ø3,5мм ), геркон переключающий. Покрытие корпусов вандалоустойчивыми красками: Антик, Антик серебряный, порошковые - +150"&amp;" руб., покрытие простыми красками - + 100руб.")</f>
        <v>Извещатель охранный точечный магнитоконтактный, для блокировки канализационных люков. Металлический корпус, вывод 400 мм (КСПВГ 4х0,2 Ø3,5мм ), геркон переключающий. Покрытие корпусов вандалоустойчивыми красками: Антик, Антик серебряный, порошковые - +150 руб., покрытие простыми красками - + 100руб.</v>
      </c>
      <c r="C822" s="9">
        <f ca="1">IFERROR(__xludf.DUMMYFUNCTION("""COMPUTED_VALUE"""),1943.99205)</f>
        <v>1943.9920500000001</v>
      </c>
      <c r="D822" s="6"/>
      <c r="E822" s="8"/>
    </row>
    <row r="823" spans="1:5" ht="38.25">
      <c r="A823" s="5" t="str">
        <f ca="1">IFERROR(__xludf.DUMMYFUNCTION("""COMPUTED_VALUE"""),"ДПМ-1Ех исп.А1 М175 К  (или магнит М250/М275/М300)  (соответствует ДПМ-1Ех исп.00) 0Ex ia IIC T6 Ga Х/РО Ex ia I Ma Х ПАШК.425119.118 ПС")</f>
        <v>ДПМ-1Ех исп.А1 М175 К  (или магнит М250/М275/М300)  (соответствует ДПМ-1Ех исп.00) 0Ex ia IIC T6 Ga Х/РО Ex ia I Ma Х ПАШК.425119.118 ПС</v>
      </c>
      <c r="B823" s="6" t="str">
        <f ca="1">IFERROR(__xludf.DUMMYFUNCTION("""COMPUTED_VALUE"""),"НР геркон, 1м*×ПВС 2×0.75 (двойная изоляция). расстояние срабатывания зависит от типа магнита")</f>
        <v>НР геркон, 1м*×ПВС 2×0.75 (двойная изоляция). расстояние срабатывания зависит от типа магнита</v>
      </c>
      <c r="C823" s="9">
        <f ca="1">IFERROR(__xludf.DUMMYFUNCTION("""COMPUTED_VALUE"""),4498.78)</f>
        <v>4498.78</v>
      </c>
      <c r="D823" s="6"/>
      <c r="E823" s="8"/>
    </row>
    <row r="824" spans="1:5" ht="38.25">
      <c r="A824" s="5" t="str">
        <f ca="1">IFERROR(__xludf.DUMMYFUNCTION("""COMPUTED_VALUE"""),"ДПМ-1Ех исп.С1 М175 К  (или магнит М250/М275/М300)  (соответствует ДПМ-1Ех исп.02) 0Ex ia IIC T6 Ga Х/РО Ex ia I Ma Х ПАШК.425119.118 ПС")</f>
        <v>ДПМ-1Ех исп.С1 М175 К  (или магнит М250/М275/М300)  (соответствует ДПМ-1Ех исп.02) 0Ex ia IIC T6 Ga Х/РО Ex ia I Ma Х ПАШК.425119.118 ПС</v>
      </c>
      <c r="B824" s="6" t="str">
        <f ca="1">IFERROR(__xludf.DUMMYFUNCTION("""COMPUTED_VALUE"""),"переключающий геркон, 1м*×ПВС 3×0.75 (двойная изоляция). расстояние срабатывания зависит от типа магнита")</f>
        <v>переключающий геркон, 1м*×ПВС 3×0.75 (двойная изоляция). расстояние срабатывания зависит от типа магнита</v>
      </c>
      <c r="C824" s="9">
        <f ca="1">IFERROR(__xludf.DUMMYFUNCTION("""COMPUTED_VALUE"""),5450.445)</f>
        <v>5450.4449999999997</v>
      </c>
      <c r="D824" s="6"/>
      <c r="E824" s="8"/>
    </row>
    <row r="825" spans="1:5" ht="63.75">
      <c r="A825" s="5" t="str">
        <f ca="1">IFERROR(__xludf.DUMMYFUNCTION("""COMPUTED_VALUE"""),"ДПМ-1Ех исп.А1 М175 КМ  (или магнит М250/М275/М300)  (соответствует ДПМ-1Ех исп.04) 0Ex ia IIC T6 Ga Х/РО Ex ia I Ma Х ПАШК.425119.118 ПС")</f>
        <v>ДПМ-1Ех исп.А1 М175 КМ  (или магнит М250/М275/М300)  (соответствует ДПМ-1Ех исп.04) 0Ex ia IIC T6 Ga Х/РО Ex ia I Ma Х ПАШК.425119.118 ПС</v>
      </c>
      <c r="B825" s="6" t="str">
        <f ca="1">IFERROR(__xludf.DUMMYFUNCTION("""COMPUTED_VALUE"""),"НР геркон, 1м*×ПВС 2×0.75 (металлорукав 
 РЗН - материал нержавеющая сталь). расстояние срабатывания зависит от типа магнита")</f>
        <v>НР геркон, 1м*×ПВС 2×0.75 (металлорукав 
 РЗН - материал нержавеющая сталь). расстояние срабатывания зависит от типа магнита</v>
      </c>
      <c r="C825" s="9">
        <f ca="1">IFERROR(__xludf.DUMMYFUNCTION("""COMPUTED_VALUE"""),5675.384)</f>
        <v>5675.384</v>
      </c>
      <c r="D825" s="6"/>
      <c r="E825" s="8"/>
    </row>
    <row r="826" spans="1:5" ht="63.75">
      <c r="A826" s="5" t="str">
        <f ca="1">IFERROR(__xludf.DUMMYFUNCTION("""COMPUTED_VALUE"""),"ДПМ-1Ех исп.С1 М175 КМ  (или магнит М250/М275/М300)  (соответствует ДПМ-1Ех исп.05) 0Ex ia IIC T6 Ga Х/РО Ex ia I Ma Х ПАШК.425119.118 ПС")</f>
        <v>ДПМ-1Ех исп.С1 М175 КМ  (или магнит М250/М275/М300)  (соответствует ДПМ-1Ех исп.05) 0Ex ia IIC T6 Ga Х/РО Ex ia I Ma Х ПАШК.425119.118 ПС</v>
      </c>
      <c r="B826" s="6" t="str">
        <f ca="1">IFERROR(__xludf.DUMMYFUNCTION("""COMPUTED_VALUE"""),"переключающий, 1м*×ПВС 3×0.75 (металлорукав 
 РЗН - материал нержавеющая сталь). расстояние срабатывания зависит от типа магнита")</f>
        <v>переключающий, 1м*×ПВС 3×0.75 (металлорукав 
 РЗН - материал нержавеющая сталь). расстояние срабатывания зависит от типа магнита</v>
      </c>
      <c r="C826" s="9">
        <f ca="1">IFERROR(__xludf.DUMMYFUNCTION("""COMPUTED_VALUE"""),5883.02)</f>
        <v>5883.02</v>
      </c>
      <c r="D826" s="6"/>
      <c r="E826" s="8"/>
    </row>
    <row r="827" spans="1:5" ht="38.25">
      <c r="A827" s="5" t="str">
        <f ca="1">IFERROR(__xludf.DUMMYFUNCTION("""COMPUTED_VALUE"""),"ДПМ-1Ех исп.А1 М150 К  0Ex ia IIC T6 Ga Х/РО Ex ia I Ma Х ПАШК.425119.118 ПС")</f>
        <v>ДПМ-1Ех исп.А1 М150 К  0Ex ia IIC T6 Ga Х/РО Ex ia I Ma Х ПАШК.425119.118 ПС</v>
      </c>
      <c r="B827" s="6" t="str">
        <f ca="1">IFERROR(__xludf.DUMMYFUNCTION("""COMPUTED_VALUE"""),"НР геркон, 1м*×ПВС 2×0.75 (двойная изоляция).расстояние срабатывания 50мм и менее-70мм и более")</f>
        <v>НР геркон, 1м*×ПВС 2×0.75 (двойная изоляция).расстояние срабатывания 50мм и менее-70мм и более</v>
      </c>
      <c r="C827" s="9">
        <f ca="1">IFERROR(__xludf.DUMMYFUNCTION("""COMPUTED_VALUE"""),4900)</f>
        <v>4900</v>
      </c>
      <c r="D827" s="6"/>
      <c r="E827" s="8"/>
    </row>
    <row r="828" spans="1:5" ht="51">
      <c r="A828" s="5" t="str">
        <f ca="1">IFERROR(__xludf.DUMMYFUNCTION("""COMPUTED_VALUE"""),"ДПМ-1Ех исп.С1 М150 К 0Ex ia IIC T6 Ga Х/РО Ex ia I Ma Х ПАШК.425119.118 ПС")</f>
        <v>ДПМ-1Ех исп.С1 М150 К 0Ex ia IIC T6 Ga Х/РО Ex ia I Ma Х ПАШК.425119.118 ПС</v>
      </c>
      <c r="B828" s="6" t="str">
        <f ca="1">IFERROR(__xludf.DUMMYFUNCTION("""COMPUTED_VALUE"""),"переключающий геркон, 1м*×ПВС 3×0.75 (двойная изоляция). расстояние срабатывания 50мм и менее-70мм и более")</f>
        <v>переключающий геркон, 1м*×ПВС 3×0.75 (двойная изоляция). расстояние срабатывания 50мм и менее-70мм и более</v>
      </c>
      <c r="C828" s="9">
        <f ca="1">IFERROR(__xludf.DUMMYFUNCTION("""COMPUTED_VALUE"""),5850)</f>
        <v>5850</v>
      </c>
      <c r="D828" s="6"/>
      <c r="E828" s="8"/>
    </row>
    <row r="829" spans="1:5" ht="63.75">
      <c r="A829" s="5" t="str">
        <f ca="1">IFERROR(__xludf.DUMMYFUNCTION("""COMPUTED_VALUE"""),"ДПМ-1Ех исп.А1 М150 КМ 0Ex ia IIC T6 Ga Х/РО Ex ia I Ma Х ПАШК.425119.118 ПС")</f>
        <v>ДПМ-1Ех исп.А1 М150 КМ 0Ex ia IIC T6 Ga Х/РО Ex ia I Ma Х ПАШК.425119.118 ПС</v>
      </c>
      <c r="B829" s="6" t="str">
        <f ca="1">IFERROR(__xludf.DUMMYFUNCTION("""COMPUTED_VALUE"""),"НР геркон, 1м*×ПВС 2×0.75 (металлорукав 
 РЗН - материал нержавеющая сталь). расстояние срабатывания 50мм и менее-70мм и более")</f>
        <v>НР геркон, 1м*×ПВС 2×0.75 (металлорукав 
 РЗН - материал нержавеющая сталь). расстояние срабатывания 50мм и менее-70мм и более</v>
      </c>
      <c r="C829" s="9">
        <f ca="1">IFERROR(__xludf.DUMMYFUNCTION("""COMPUTED_VALUE"""),6075)</f>
        <v>6075</v>
      </c>
      <c r="D829" s="6"/>
      <c r="E829" s="8"/>
    </row>
    <row r="830" spans="1:5" ht="63.75">
      <c r="A830" s="5" t="str">
        <f ca="1">IFERROR(__xludf.DUMMYFUNCTION("""COMPUTED_VALUE"""),"ДПМ-1Ех исп.С1 М150 КМ 0Ex ia IIC T6 Ga Х/РО Ex ia I Ma Х ПАШК.425119.118 ПС")</f>
        <v>ДПМ-1Ех исп.С1 М150 КМ 0Ex ia IIC T6 Ga Х/РО Ex ia I Ma Х ПАШК.425119.118 ПС</v>
      </c>
      <c r="B830" s="6" t="str">
        <f ca="1">IFERROR(__xludf.DUMMYFUNCTION("""COMPUTED_VALUE"""),"переключающий, 1м*×ПВС 3×0.75 (металлорукав 
 РЗН - материал нержавеющая сталь). расстояние срабатывания 50мм и менее-70мм и более")</f>
        <v>переключающий, 1м*×ПВС 3×0.75 (металлорукав 
 РЗН - материал нержавеющая сталь). расстояние срабатывания 50мм и менее-70мм и более</v>
      </c>
      <c r="C830" s="9">
        <f ca="1">IFERROR(__xludf.DUMMYFUNCTION("""COMPUTED_VALUE"""),6280)</f>
        <v>6280</v>
      </c>
      <c r="D830" s="6"/>
      <c r="E830" s="8"/>
    </row>
    <row r="831" spans="1:5" ht="63.75">
      <c r="A831" s="5" t="str">
        <f ca="1">IFERROR(__xludf.DUMMYFUNCTION("""COMPUTED_VALUE"""),"ИП 212-69/3М АЯКС с АКБ ТУ 4371-003-18886337-15")</f>
        <v>ИП 212-69/3М АЯКС с АКБ ТУ 4371-003-18886337-15</v>
      </c>
      <c r="B831" s="6" t="str">
        <f ca="1">IFERROR(__xludf.DUMMYFUNCTION("""COMPUTED_VALUE"""),"Извещатель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f>
        <v>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v>
      </c>
      <c r="C831" s="9">
        <f ca="1">IFERROR(__xludf.DUMMYFUNCTION("""COMPUTED_VALUE"""),609.84)</f>
        <v>609.84</v>
      </c>
      <c r="D831" s="6"/>
      <c r="E831" s="8"/>
    </row>
    <row r="832" spans="1:5" ht="63.75">
      <c r="A832" s="5" t="str">
        <f ca="1">IFERROR(__xludf.DUMMYFUNCTION("""COMPUTED_VALUE"""),"ИП 212-69/3М АЯКС без АКБ ТУ 4371-003-18886337-15")</f>
        <v>ИП 212-69/3М АЯКС без АКБ ТУ 4371-003-18886337-15</v>
      </c>
      <c r="B832" s="6" t="str">
        <f ca="1">IFERROR(__xludf.DUMMYFUNCTION("""COMPUTED_VALUE"""),"Извещатель пожарный автономный дымовой оптико-электронный. При обнаружении задымления извещатель формирует звуковые сигналы тревоги. IP 40")</f>
        <v>Извещатель пожарный автономный дымовой оптико-электронный. При обнаружении задымления извещатель формирует звуковые сигналы тревоги. IP 40</v>
      </c>
      <c r="C832" s="9">
        <f ca="1">IFERROR(__xludf.DUMMYFUNCTION("""COMPUTED_VALUE"""),561.44)</f>
        <v>561.44000000000005</v>
      </c>
      <c r="D832" s="6"/>
      <c r="E832" s="8"/>
    </row>
    <row r="833" spans="1:5" ht="89.25">
      <c r="A833" s="5" t="str">
        <f ca="1">IFERROR(__xludf.DUMMYFUNCTION("""COMPUTED_VALUE"""),"ИП 212-69/3М АЯКС (с возможностью объединения в шлейф)")</f>
        <v>ИП 212-69/3М АЯКС (с возможностью объединения в шлейф)</v>
      </c>
      <c r="B833" s="6" t="str">
        <f ca="1">IFERROR(__xludf.DUMMYFUNCTION("""COMPUTED_VALUE"""),"Извещатель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 Возможность объединения в шлейф до 40 шт")</f>
        <v>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 Возможность объединения в шлейф до 40 шт</v>
      </c>
      <c r="C833" s="9">
        <f ca="1">IFERROR(__xludf.DUMMYFUNCTION("""COMPUTED_VALUE"""),750.2)</f>
        <v>750.2</v>
      </c>
      <c r="D833" s="6"/>
      <c r="E833" s="8"/>
    </row>
    <row r="834" spans="1:5" ht="204">
      <c r="A834" s="5" t="str">
        <f ca="1">IFERROR(__xludf.DUMMYFUNCTION("""COMPUTED_VALUE"""),"МЕТКА АДРЕСНАЯ МА-1.0 исп.01 АТФЕ.426461.107 ТУ")</f>
        <v>МЕТКА АДРЕСНАЯ МА-1.0 исп.01 АТФЕ.426461.107 ТУ</v>
      </c>
      <c r="B834" s="6" t="str">
        <f ca="1">IFERROR(__xludf.DUMMYFUNCTION("""COMPUTED_VALUE"""),"Адресная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внешн"&amp;"его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01 (корпус красного цвета) – для устройств с нормально замкнутыми сухими контактами.")</f>
        <v>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01 (корпус красного цвета) – для устройств с нормально замкнутыми сухими контактами.</v>
      </c>
      <c r="C834" s="9">
        <f ca="1">IFERROR(__xludf.DUMMYFUNCTION("""COMPUTED_VALUE"""),529.474)</f>
        <v>529.47400000000005</v>
      </c>
      <c r="D834" s="6"/>
      <c r="E834" s="8"/>
    </row>
    <row r="835" spans="1:5" ht="204">
      <c r="A835" s="5" t="str">
        <f ca="1">IFERROR(__xludf.DUMMYFUNCTION("""COMPUTED_VALUE"""),"МЕТКА АДРЕСНАЯ МА-1.0 исп.02 АТФЕ.426461.107 ТУ")</f>
        <v>МЕТКА АДРЕСНАЯ МА-1.0 исп.02 АТФЕ.426461.107 ТУ</v>
      </c>
      <c r="B835" s="6" t="str">
        <f ca="1">IFERROR(__xludf.DUMMYFUNCTION("""COMPUTED_VALUE"""),"Адресная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внешн"&amp;"его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02 (корпус красно-зеленого цвета) – для устройств с нормально разомкнутыми сухими конт"&amp;"актами.")</f>
        <v>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02 (корпус красно-зеленого цвета) – для устройств с нормально разомкнутыми сухими контактами.</v>
      </c>
      <c r="C835" s="9">
        <f ca="1">IFERROR(__xludf.DUMMYFUNCTION("""COMPUTED_VALUE"""),529.474)</f>
        <v>529.47400000000005</v>
      </c>
      <c r="D835" s="6"/>
      <c r="E835" s="8"/>
    </row>
    <row r="836" spans="1:5" ht="63.75">
      <c r="A836" s="5" t="str">
        <f ca="1">IFERROR(__xludf.DUMMYFUNCTION("""COMPUTED_VALUE"""),"ИП 212-83 ТУ 4371–004–60552473–12")</f>
        <v>ИП 212-83 ТУ 4371–004–60552473–12</v>
      </c>
      <c r="B836" s="6" t="str">
        <f ca="1">IFERROR(__xludf.DUMMYFUNCTION("""COMPUTED_VALUE"""),"Извещатель пожарный дымовой оптико-электронный адресный. Предназначен для подключения в двухпроводный адресный шлейф «АСПС Планета-4» и ""Планета-АПКП-М"". IP 40")</f>
        <v>Извещатель пожарный дымовой оптико-электронный адресный. Предназначен для подключения в двухпроводный адресный шлейф «АСПС Планета-4» и "Планета-АПКП-М". IP 40</v>
      </c>
      <c r="C836" s="9">
        <f ca="1">IFERROR(__xludf.DUMMYFUNCTION("""COMPUTED_VALUE"""),1760)</f>
        <v>1760</v>
      </c>
      <c r="D836" s="6"/>
      <c r="E836" s="8"/>
    </row>
    <row r="837" spans="1:5" ht="293.25">
      <c r="A837" s="5" t="str">
        <f ca="1">IFERROR(__xludf.DUMMYFUNCTION("""COMPUTED_VALUE"""),"Планета-АК ТУ 4371 – 007 – 60552473 – 12")</f>
        <v>Планета-АК ТУ 4371 – 007 – 60552473 – 12</v>
      </c>
      <c r="B837" s="6" t="str">
        <f ca="1">IFERROR(__xludf.DUMMYFUNCTION("""COMPUTED_VALUE"""),"Адресный концентратор предназначен для расширения возможностей адресной системы пожарной сигнализации «Планета» при помощи подключения через него безадресных пожарных извещателей типа ИП212-69/1МР и ИПР513-9П. Это бывает целесообразно и экономично при охр"&amp;"ане больших по площади или длине помещений (ангары, коридоры и т.п.). Дополнительная логическая обработка сигналов от безадресных извещателей позволяет повысить помехозащищенность системы. АК включается в адресный шлейф адресного приемно-контрольного приб"&amp;"ора (АПКП) «Планета-АПКП-М» или «АСПС Планета-4». Для АПКП он является функционально таким же устройством, как и адресный извещатель. Совместно с АК на адресном шлейфе могут использоваться адресные пожарные извещатели системы «Планета» - ИП212-83 , ИПР513"&amp;"-9 и ИП101-34-А1.")</f>
        <v>Адресный концентратор предназначен для расширения возможностей адресной системы пожарной сигнализации «Планета» при помощи подключения через него безадресных пожарных извещателей типа ИП212-69/1МР и ИПР513-9П. Это бывает целесообразно и экономично при охране больших по площади или длине помещений (ангары, коридоры и т.п.). Дополнительная логическая обработка сигналов от безадресных извещателей позволяет повысить помехозащищенность системы. АК включается в адресный шлейф адресного приемно-контрольного прибора (АПКП) «Планета-АПКП-М» или «АСПС Планета-4». Для АПКП он является функционально таким же устройством, как и адресный извещатель. Совместно с АК на адресном шлейфе могут использоваться адресные пожарные извещатели системы «Планета» - ИП212-83 , ИПР513-9 и ИП101-34-А1.</v>
      </c>
      <c r="C837" s="9">
        <f ca="1">IFERROR(__xludf.DUMMYFUNCTION("""COMPUTED_VALUE"""),1478.202)</f>
        <v>1478.202</v>
      </c>
      <c r="D837" s="6"/>
      <c r="E837" s="8"/>
    </row>
    <row r="838" spans="1:5" ht="153">
      <c r="A838" s="5" t="str">
        <f ca="1">IFERROR(__xludf.DUMMYFUNCTION("""COMPUTED_VALUE"""),"Планета-АПКП-М ТУ 4371-002-60552473-12")</f>
        <v>Планета-АПКП-М ТУ 4371-002-60552473-12</v>
      </c>
      <c r="B838" s="6" t="str">
        <f ca="1">IFERROR(__xludf.DUMMYFUNCTION("""COMPUTED_VALUE"""),"Прибор предназначен для создания адресных систем пожарной сигнализации. ППКП используется совместно с адресными дымовыми пожарными извещателями ИП212-83 ИП101-34-А1, ИПР513-9, источником постоянного тока 24В и любым неадресным пожарным приемно-контрольным"&amp;" прибором, контролирующим пожарный шлейф по принципу изменения его сопротивления постоянному току.")</f>
        <v>Прибор предназначен для создания адресных систем пожарной сигнализации. ППКП используется совместно с адресными дымовыми пожарными извещателями ИП212-83 ИП101-34-А1, ИПР513-9, источником постоянного тока 24В и любым неадресным пожарным приемно-контрольным прибором, контролирующим пожарный шлейф по принципу изменения его сопротивления постоянному току.</v>
      </c>
      <c r="C838" s="9">
        <f ca="1">IFERROR(__xludf.DUMMYFUNCTION("""COMPUTED_VALUE"""),5358.045)</f>
        <v>5358.0450000000001</v>
      </c>
      <c r="D838" s="6"/>
      <c r="E838" s="8"/>
    </row>
    <row r="839" spans="1:5" ht="409.5">
      <c r="A839" s="5" t="str">
        <f ca="1">IFERROR(__xludf.DUMMYFUNCTION("""COMPUTED_VALUE"""),"АСПС Планета-4 ТУ 4371-010-60552473-12")</f>
        <v>АСПС Планета-4 ТУ 4371-010-60552473-12</v>
      </c>
      <c r="B839" s="6" t="str">
        <f ca="1">IFERROR(__xludf.DUMMYFUNCTION("""COMPUTED_VALUE"""),"ППКП предназначен для создания адресно-аналоговых систем пожарной сигнализации. Выпускается в промышленном исполнении (IP55, с гермовводами). 4 адресных шлейфа, к каждому из которых может быть подключено до 127 адресных извещателей: ИП212-83, ИП101-34-А1,"&amp;" а также адресных концентраторов ""Планета-АК"" и адресных меток ""МА-1.0"". Максимальное количество подключаемых адресных извещателей - 508 шт. Часы реального времени. 
 Журнал событий (1024 события). 5 функциональных реле (ПОЖАР1, ПОЖАР2, НЕИСПРАВНОСТЬ,"&amp;" СВЕТОВОЕ ОПОВЕЩЕНИЕ, ЗВУКОВОЕ ОПОВЕЩЕНИЕ), временные параметры которых могут быть скорректированы пользователем. Измерение собственного напряжения питания и напряжения питания адаптеров адресных шлейфов. 
 Определение перехода на питание от резервного ак"&amp;"кумулятора (возможна подстройка под источники питания различных производителей). Объединение извещателей в группы (до 8 групп). Задание типа извещателей. 
 Задание индивидуального описания извещателей (до 20 символов). Специальное программное обеспечение "&amp;"для быстрой настройки системы и мониторинга состояния (USB-интерфейс).")</f>
        <v>ППКП предназначен для создания адресно-аналоговых систем пожарной сигнализации. Выпускается в промышленном исполнении (IP55, с гермовводами). 4 адресных шлейфа, к каждому из которых может быть подключено до 127 адресных извещателей: ИП212-83, ИП101-34-А1, а также адресных концентраторов "Планета-АК" и адресных меток "МА-1.0". Максимальное количество подключаемых адресных извещателей - 508 шт. Часы реального времени. 
 Журнал событий (1024 события). 5 функциональных реле (ПОЖАР1, ПОЖАР2, НЕИСПРАВНОСТЬ, СВЕТОВОЕ ОПОВЕЩЕНИЕ, ЗВУКОВОЕ ОПОВЕЩЕНИЕ), временные параметры которых могут быть скорректированы пользователем. Измерение собственного напряжения питания и напряжения питания адаптеров адресных шлейфов. 
 Определение перехода на питание от резервного аккумулятора (возможна подстройка под источники питания различных производителей). Объединение извещателей в группы (до 8 групп). Задание типа извещателей. 
 Задание индивидуального описания извещателей (до 20 символов). Специальное программное обеспечение для быстрой настройки системы и мониторинга состояния (USB-интерфейс).</v>
      </c>
      <c r="C839" s="9">
        <f ca="1">IFERROR(__xludf.DUMMYFUNCTION("""COMPUTED_VALUE"""),16628.535)</f>
        <v>16628.535</v>
      </c>
      <c r="D839" s="6"/>
      <c r="E839" s="8"/>
    </row>
    <row r="840" spans="1:5" ht="114.75">
      <c r="A840" s="5" t="str">
        <f ca="1">IFERROR(__xludf.DUMMYFUNCTION("""COMPUTED_VALUE"""),"РК 1000")</f>
        <v>РК 1000</v>
      </c>
      <c r="B840" s="6" t="str">
        <f ca="1">IFERROR(__xludf.DUMMYFUNCTION("""COMPUTED_VALUE"""),"НР, коммутируемая мощность 10 Вт, коммутируемое напряжение 100В, коммутируемый/пропускаемый ток 0,5/0,5 А, МДС срабатывания 7…40 А, МДС отпускания 3А, коэффициент возврата 0,35-0,9, сопротивление контакта 0,15 Ом, время срабатывания 0,5 мс, время отпускан"&amp;"ия 0,3 мс, масса 0,19 г, диапазон раб.темп. -60..+110. *")</f>
        <v>НР, коммутируемая мощность 10 Вт, коммутируемое напряжение 100В, коммутируемый/пропускаемый ток 0,5/0,5 А, МДС срабатывания 7…40 А, МДС отпускания 3А, коэффициент возврата 0,35-0,9, сопротивление контакта 0,15 Ом, время срабатывания 0,5 мс, время отпускания 0,3 мс, масса 0,19 г, диапазон раб.темп. -60..+110. *</v>
      </c>
      <c r="C840" s="9">
        <f ca="1">IFERROR(__xludf.DUMMYFUNCTION("""COMPUTED_VALUE"""),47.355)</f>
        <v>47.354999999999997</v>
      </c>
      <c r="D840" s="6"/>
      <c r="E840" s="8"/>
    </row>
    <row r="841" spans="1:5" ht="114.75">
      <c r="A841" s="5" t="str">
        <f ca="1">IFERROR(__xludf.DUMMYFUNCTION("""COMPUTED_VALUE"""),"РК 1400")</f>
        <v>РК 1400</v>
      </c>
      <c r="B841" s="6" t="str">
        <f ca="1">IFERROR(__xludf.DUMMYFUNCTION("""COMPUTED_VALUE"""),"НР, коммутируемая мощность 10 Вт, коммутируемое напряжение 200В, коммутируемый/пропускаемый ток 0,5/0,5 А, МДС срабатывания 8…35 А, МДС отпускания 4А, коэффициент возврата 0,35-0,9, сопротивление контакта 0,1 Ом, время срабатывания 1 мс, время отпускания "&amp;"0,4 мс, масса 0,25 г, диапазон раб.темп. -60..+110. *")</f>
        <v>НР, коммутируемая мощность 10 Вт, коммутируемое напряжение 200В, коммутируемый/пропускаемый ток 0,5/0,5 А, МДС срабатывания 8…35 А, МДС отпускания 4А, коэффициент возврата 0,35-0,9, сопротивление контакта 0,1 Ом, время срабатывания 1 мс, время отпускания 0,4 мс, масса 0,25 г, диапазон раб.темп. -60..+110. *</v>
      </c>
      <c r="C841" s="9">
        <f ca="1">IFERROR(__xludf.DUMMYFUNCTION("""COMPUTED_VALUE"""),47.355)</f>
        <v>47.354999999999997</v>
      </c>
      <c r="D841" s="6"/>
      <c r="E841" s="8"/>
    </row>
    <row r="842" spans="1:5" ht="114.75">
      <c r="A842" s="5" t="str">
        <f ca="1">IFERROR(__xludf.DUMMYFUNCTION("""COMPUTED_VALUE"""),"РК 2000")</f>
        <v>РК 2000</v>
      </c>
      <c r="B842" s="6" t="str">
        <f ca="1">IFERROR(__xludf.DUMMYFUNCTION("""COMPUTED_VALUE"""),"НР, коммутируемая мощность 10 Вт, коммутируемое напряжение 180 В, коммутируемый/пропускаемый ток 0,5/0,5 А, МДС срабатывания 10…42 А, МДС отпускания 4А, коэффициент возврата 0,35-0,9, сопротивление контакта 0,15 Ом, время срабатывания 1 мс, время отпускан"&amp;"ия 0,3 мс, масса 0,5 г, диапазон раб.темп. -60..+110. *")</f>
        <v>НР, коммутируемая мощность 10 Вт, коммутируемое напряжение 180 В, коммутируемый/пропускаемый ток 0,5/0,5 А, МДС срабатывания 10…42 А, МДС отпускания 4А, коэффициент возврата 0,35-0,9, сопротивление контакта 0,15 Ом, время срабатывания 1 мс, время отпускания 0,3 мс, масса 0,5 г, диапазон раб.темп. -60..+110. *</v>
      </c>
      <c r="C842" s="9">
        <f ca="1">IFERROR(__xludf.DUMMYFUNCTION("""COMPUTED_VALUE"""),47.355)</f>
        <v>47.354999999999997</v>
      </c>
      <c r="D842" s="6"/>
      <c r="E842" s="8"/>
    </row>
    <row r="843" spans="1:5" ht="191.25">
      <c r="A843" s="5" t="str">
        <f ca="1">IFERROR(__xludf.DUMMYFUNCTION("""COMPUTED_VALUE"""),"DN15A")</f>
        <v>DN15A</v>
      </c>
      <c r="B843" s="6" t="str">
        <f ca="1">IFERROR(__xludf.DUMMYFUNCTION("""COMPUTED_VALUE"""),"Перекрываемый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"&amp;"Тип взрывозащиты: герметичное литье. Максимальное давление: 
 50 кПа 10. Длина выхода: 0.4 метра Соединение: G1/2"" (DN15A). Закрытие клапана: под действием постоянного тока/ручное. Открытие клапана: ручное восстановление позиции")</f>
        <v>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Тип взрывозащиты: герметичное литье. Максимальное давление: 
 50 кПа 10. Длина выхода: 0.4 метра Соединение: G1/2" (DN15A). Закрытие клапана: под действием постоянного тока/ручное. Открытие клапана: ручное восстановление позиции</v>
      </c>
      <c r="C843" s="9">
        <f ca="1">IFERROR(__xludf.DUMMYFUNCTION("""COMPUTED_VALUE"""),1662.815)</f>
        <v>1662.8150000000001</v>
      </c>
      <c r="D843" s="6"/>
      <c r="E843" s="8"/>
    </row>
    <row r="844" spans="1:5" ht="191.25">
      <c r="A844" s="5" t="str">
        <f ca="1">IFERROR(__xludf.DUMMYFUNCTION("""COMPUTED_VALUE"""),"DN20A")</f>
        <v>DN20A</v>
      </c>
      <c r="B844" s="6" t="str">
        <f ca="1">IFERROR(__xludf.DUMMYFUNCTION("""COMPUTED_VALUE"""),"Перекрываемый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"&amp;"Тип взрывозащиты: герметичное литье. Максимальное давление: 
 50 кПа 10. Длина выхода: 0.4 метра Соединение: G3/4"" (DN20A). Закрытие клапана: под действием постоянного тока/ручное. Открытие клапана: ручное восстановление позиции")</f>
        <v>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Тип взрывозащиты: герметичное литье. Максимальное давление: 
 50 кПа 10. Длина выхода: 0.4 метра Соединение: G3/4" (DN20A). Закрытие клапана: под действием постоянного тока/ручное. Открытие клапана: ручное восстановление позиции</v>
      </c>
      <c r="C844" s="9">
        <f ca="1">IFERROR(__xludf.DUMMYFUNCTION("""COMPUTED_VALUE"""),1847.615)</f>
        <v>1847.615</v>
      </c>
      <c r="D844" s="6"/>
      <c r="E844" s="8"/>
    </row>
    <row r="845" spans="1:5" ht="25.5">
      <c r="A845" s="5" t="str">
        <f ca="1">IFERROR(__xludf.DUMMYFUNCTION("""COMPUTED_VALUE"""),"Блок пусковой для электромагнитного клапана")</f>
        <v>Блок пусковой для электромагнитного клапана</v>
      </c>
      <c r="B845" s="6" t="str">
        <f ca="1">IFERROR(__xludf.DUMMYFUNCTION("""COMPUTED_VALUE"""),"Блок пусковой для электромагнитного клапана")</f>
        <v>Блок пусковой для электромагнитного клапана</v>
      </c>
      <c r="C845" s="9">
        <f ca="1">IFERROR(__xludf.DUMMYFUNCTION("""COMPUTED_VALUE"""),554.213)</f>
        <v>554.21299999999997</v>
      </c>
      <c r="D845" s="6"/>
      <c r="E845" s="8"/>
    </row>
    <row r="846" spans="1:5" ht="165.75">
      <c r="A846" s="5" t="str">
        <f ca="1">IFERROR(__xludf.DUMMYFUNCTION("""COMPUTED_VALUE"""),"ARTOL-Т4014 АТФЕ.425119.072 ТУ (только датчик)")</f>
        <v>ARTOL-Т4014 АТФЕ.425119.072 ТУ (только датчик)</v>
      </c>
      <c r="B846" s="6" t="str">
        <f ca="1">IFERROR(__xludf.DUMMYFUNCTION("""COMPUTED_VALUE"""),"Степень защиты оболочки: IP68 по ГОСТ 14254-96
 Температура окружающей среды: от -50°С до +125°С
 Коммутируемая мощность не более: 10 Вт
 Коммутируемые: напряжение – 200 В; ток – 1 А 
 Контакты датчика: 
 – замыкаются 11 мм и менее, 
 – размыкаются 16 мм "&amp;"и более
 Цвет корпуса: белый на 125ºС, силиконовый провод 3000 мм")</f>
        <v>Степень защиты оболочки: IP68 по ГОСТ 14254-96
 Температура окружающей среды: от -50°С до +125°С
 Коммутируемая мощность не более: 10 Вт
 Коммутируемые: напряжение – 200 В; ток – 1 А 
 Контакты датчика: 
 – замыкаются 11 мм и менее, 
 – размыкаются 16 мм и более
 Цвет корпуса: белый на 125ºС, силиконовый провод 3000 мм</v>
      </c>
      <c r="C846" s="9">
        <f ca="1">IFERROR(__xludf.DUMMYFUNCTION("""COMPUTED_VALUE"""),1039.9389)</f>
        <v>1039.9389000000001</v>
      </c>
      <c r="D846" s="6"/>
      <c r="E846" s="8"/>
    </row>
    <row r="847" spans="1:5" ht="165.75">
      <c r="A847" s="5" t="str">
        <f ca="1">IFERROR(__xludf.DUMMYFUNCTION("""COMPUTED_VALUE"""),"ARTOL-3 014 (датчик + магнит М-025) АТФЕ.425119.072 ТУ")</f>
        <v>ARTOL-3 014 (датчик + магнит М-025) АТФЕ.425119.072 ТУ</v>
      </c>
      <c r="B847"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47" s="9">
        <f ca="1">IFERROR(__xludf.DUMMYFUNCTION("""COMPUTED_VALUE"""),509.73615)</f>
        <v>509.73615000000001</v>
      </c>
      <c r="D847" s="6"/>
      <c r="E847" s="8"/>
    </row>
    <row r="848" spans="1:5" ht="165.75">
      <c r="A848" s="5" t="str">
        <f ca="1">IFERROR(__xludf.DUMMYFUNCTION("""COMPUTED_VALUE"""),"ARTOL-3 014 (датчик + магнит М-020) АТФЕ.425119.072 ТУ")</f>
        <v>ARTOL-3 014 (датчик + магнит М-020) АТФЕ.425119.072 ТУ</v>
      </c>
      <c r="B848"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48" s="9">
        <f ca="1">IFERROR(__xludf.DUMMYFUNCTION("""COMPUTED_VALUE"""),430.7688)</f>
        <v>430.7688</v>
      </c>
      <c r="D848" s="6"/>
      <c r="E848" s="8"/>
    </row>
    <row r="849" spans="1:5" ht="165.75">
      <c r="A849" s="5" t="str">
        <f ca="1">IFERROR(__xludf.DUMMYFUNCTION("""COMPUTED_VALUE"""),"ARTOL-3 229 (датчик + магнит М-025) АТФЕ.425119.072 ТУ")</f>
        <v>ARTOL-3 229 (датчик + магнит М-025) АТФЕ.425119.072 ТУ</v>
      </c>
      <c r="B849"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49" s="9">
        <f ca="1">IFERROR(__xludf.DUMMYFUNCTION("""COMPUTED_VALUE"""),681.3114)</f>
        <v>681.31140000000005</v>
      </c>
      <c r="D849" s="6"/>
      <c r="E849" s="8"/>
    </row>
    <row r="850" spans="1:5" ht="165.75">
      <c r="A850" s="5" t="str">
        <f ca="1">IFERROR(__xludf.DUMMYFUNCTION("""COMPUTED_VALUE"""),"ARTOL-3 229 (датчик + магнит М-020) АТФЕ.425119.072 ТУ")</f>
        <v>ARTOL-3 229 (датчик + магнит М-020) АТФЕ.425119.072 ТУ</v>
      </c>
      <c r="B850"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50" s="9">
        <f ca="1">IFERROR(__xludf.DUMMYFUNCTION("""COMPUTED_VALUE"""),602.6328)</f>
        <v>602.63279999999997</v>
      </c>
      <c r="D850" s="6"/>
      <c r="E850" s="8"/>
    </row>
    <row r="851" spans="1:5" ht="165.75">
      <c r="A851" s="5" t="str">
        <f ca="1">IFERROR(__xludf.DUMMYFUNCTION("""COMPUTED_VALUE"""),"ARTOL-3 324 (датчик + магнит М-025) АТФЕ.425119.072 ТУ")</f>
        <v>ARTOL-3 324 (датчик + магнит М-025) АТФЕ.425119.072 ТУ</v>
      </c>
      <c r="B851" s="6" t="str">
        <f ca="1">IFERROR(__xludf.DUMMYFUNCTION("""COMPUTED_VALUE"""),"Степень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 более
 Основной цвет корпуса: черный или белый</v>
      </c>
      <c r="C851" s="9">
        <f ca="1">IFERROR(__xludf.DUMMYFUNCTION("""COMPUTED_VALUE"""),509.73615)</f>
        <v>509.73615000000001</v>
      </c>
      <c r="D851" s="6"/>
      <c r="E851" s="8"/>
    </row>
    <row r="852" spans="1:5" ht="165.75">
      <c r="A852" s="5" t="str">
        <f ca="1">IFERROR(__xludf.DUMMYFUNCTION("""COMPUTED_VALUE"""),"ARTOL-3 324 (датчик + магнит М-020) АТФЕ.425119.072 ТУ")</f>
        <v>ARTOL-3 324 (датчик + магнит М-020) АТФЕ.425119.072 ТУ</v>
      </c>
      <c r="B852" s="6" t="str">
        <f ca="1">IFERROR(__xludf.DUMMYFUNCTION("""COMPUTED_VALUE"""),"Степень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 более
 Основной цвет корпуса: черный или белый</v>
      </c>
      <c r="C852" s="9">
        <f ca="1">IFERROR(__xludf.DUMMYFUNCTION("""COMPUTED_VALUE"""),430.7688)</f>
        <v>430.7688</v>
      </c>
      <c r="D852" s="6"/>
      <c r="E852" s="8"/>
    </row>
    <row r="853" spans="1:5" ht="191.25">
      <c r="A853" s="5" t="str">
        <f ca="1">IFERROR(__xludf.DUMMYFUNCTION("""COMPUTED_VALUE"""),"ARTOL-3Р 003 (датчик + магнит М-025) АТФЕ.425119.072 ТУ")</f>
        <v>ARTOL-3Р 003 (датчик + магнит М-025) АТФЕ.425119.072 ТУ</v>
      </c>
      <c r="B853" s="6" t="str">
        <f ca="1">IFERROR(__xludf.DUMMYFUNCTION("""COMPUTED_VALUE"""),"Степень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воз"&amp;"врат обратно на расстоянии 6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возврат обратно на расстоянии 6 мм и более
 Основной цвет корпуса: черный или белый</v>
      </c>
      <c r="C853" s="9">
        <f ca="1">IFERROR(__xludf.DUMMYFUNCTION("""COMPUTED_VALUE"""),863.90535)</f>
        <v>863.90535</v>
      </c>
      <c r="D853" s="6"/>
      <c r="E853" s="8"/>
    </row>
    <row r="854" spans="1:5" ht="191.25">
      <c r="A854" s="5" t="str">
        <f ca="1">IFERROR(__xludf.DUMMYFUNCTION("""COMPUTED_VALUE"""),"ARTOL-3Р 003 (датчик + магнит М-020) АТФЕ.425119.072 ТУ")</f>
        <v>ARTOL-3Р 003 (датчик + магнит М-020) АТФЕ.425119.072 ТУ</v>
      </c>
      <c r="B854" s="6" t="str">
        <f ca="1">IFERROR(__xludf.DUMMYFUNCTION("""COMPUTED_VALUE"""),"Степень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воз"&amp;"врат обратно на расстоянии 6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возврат обратно на расстоянии 6 мм и более
 Основной цвет корпуса: черный или белый</v>
      </c>
      <c r="C854" s="9">
        <f ca="1">IFERROR(__xludf.DUMMYFUNCTION("""COMPUTED_VALUE"""),835.7349)</f>
        <v>835.73490000000004</v>
      </c>
      <c r="D854" s="6"/>
      <c r="E854" s="8"/>
    </row>
    <row r="855" spans="1:5" ht="191.25">
      <c r="A855" s="5" t="str">
        <f ca="1">IFERROR(__xludf.DUMMYFUNCTION("""COMPUTED_VALUE"""),"ARTOL-3Р 551 (датчик + магнит М-025) АТФЕ.425119.072 ТУ")</f>
        <v>ARTOL-3Р 551 (датчик + магнит М-025) АТФЕ.425119.072 ТУ</v>
      </c>
      <c r="B855"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55" s="9">
        <f ca="1">IFERROR(__xludf.DUMMYFUNCTION("""COMPUTED_VALUE"""),970.1769)</f>
        <v>970.17690000000005</v>
      </c>
      <c r="D855" s="6"/>
      <c r="E855" s="8"/>
    </row>
    <row r="856" spans="1:5" ht="191.25">
      <c r="A856" s="5" t="str">
        <f ca="1">IFERROR(__xludf.DUMMYFUNCTION("""COMPUTED_VALUE"""),"ARTOL-3Р 551 (датчик + магнит М-020) АТФЕ.425119.072 ТУ")</f>
        <v>ARTOL-3Р 551 (датчик + магнит М-020) АТФЕ.425119.072 ТУ</v>
      </c>
      <c r="B856"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56" s="9">
        <f ca="1">IFERROR(__xludf.DUMMYFUNCTION("""COMPUTED_VALUE"""),812.48475)</f>
        <v>812.48474999999996</v>
      </c>
      <c r="D856" s="6"/>
      <c r="E856" s="8"/>
    </row>
    <row r="857" spans="1:5" ht="165.75">
      <c r="A857" s="5" t="str">
        <f ca="1">IFERROR(__xludf.DUMMYFUNCTION("""COMPUTED_VALUE"""),"ARTOL-4 014 (датчик + магнит М-025) АТФЕ.425119.072 ТУ")</f>
        <v>ARTOL-4 014 (датчик + магнит М-025) АТФЕ.425119.072 ТУ</v>
      </c>
      <c r="B857"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57" s="9">
        <f ca="1">IFERROR(__xludf.DUMMYFUNCTION("""COMPUTED_VALUE"""),504.7119)</f>
        <v>504.71190000000001</v>
      </c>
      <c r="D857" s="6"/>
      <c r="E857" s="8"/>
    </row>
    <row r="858" spans="1:5" ht="165.75">
      <c r="A858" s="5" t="str">
        <f ca="1">IFERROR(__xludf.DUMMYFUNCTION("""COMPUTED_VALUE"""),"ARTOL-4 014 (датчик + магнит М-020) АТФЕ.425119.072 ТУ")</f>
        <v>ARTOL-4 014 (датчик + магнит М-020) АТФЕ.425119.072 ТУ</v>
      </c>
      <c r="B858"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58" s="9">
        <f ca="1">IFERROR(__xludf.DUMMYFUNCTION("""COMPUTED_VALUE"""),425.6868)</f>
        <v>425.68680000000001</v>
      </c>
      <c r="D858" s="6"/>
      <c r="E858" s="8"/>
    </row>
    <row r="859" spans="1:5" ht="165.75">
      <c r="A859" s="5" t="str">
        <f ca="1">IFERROR(__xludf.DUMMYFUNCTION("""COMPUTED_VALUE"""),"ARTOL-4 229 (датчик + магнит М-025) АТФЕ.425119.072 ТУ")</f>
        <v>ARTOL-4 229 (датчик + магнит М-025) АТФЕ.425119.072 ТУ</v>
      </c>
      <c r="B859"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59" s="9">
        <f ca="1">IFERROR(__xludf.DUMMYFUNCTION("""COMPUTED_VALUE"""),680.21415)</f>
        <v>680.21415000000002</v>
      </c>
      <c r="D859" s="6"/>
      <c r="E859" s="8"/>
    </row>
    <row r="860" spans="1:5" ht="165.75">
      <c r="A860" s="5" t="str">
        <f ca="1">IFERROR(__xludf.DUMMYFUNCTION("""COMPUTED_VALUE"""),"ARTOL-4 229 (датчик + магнит М-020) АТФЕ.425119.072 ТУ")</f>
        <v>ARTOL-4 229 (датчик + магнит М-020) АТФЕ.425119.072 ТУ</v>
      </c>
      <c r="B860"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60" s="9">
        <f ca="1">IFERROR(__xludf.DUMMYFUNCTION("""COMPUTED_VALUE"""),601.7319)</f>
        <v>601.7319</v>
      </c>
      <c r="D860" s="6"/>
      <c r="E860" s="8"/>
    </row>
    <row r="861" spans="1:5" ht="165.75">
      <c r="A861" s="5" t="str">
        <f ca="1">IFERROR(__xludf.DUMMYFUNCTION("""COMPUTED_VALUE"""),"ARTOL-4 324 (датчик + магнит М-025) АТФЕ.425119.072 ТУ")</f>
        <v>ARTOL-4 324 (датчик + магнит М-025) АТФЕ.425119.072 ТУ</v>
      </c>
      <c r="B861"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и более
 Основной цвет корпуса: черный или белый</v>
      </c>
      <c r="C861" s="9">
        <f ca="1">IFERROR(__xludf.DUMMYFUNCTION("""COMPUTED_VALUE"""),567.76335)</f>
        <v>567.76334999999995</v>
      </c>
      <c r="D861" s="6"/>
      <c r="E861" s="8"/>
    </row>
    <row r="862" spans="1:5" ht="165.75">
      <c r="A862" s="5" t="str">
        <f ca="1">IFERROR(__xludf.DUMMYFUNCTION("""COMPUTED_VALUE"""),"ARTOL-4 324 (датчик + магнит М-020) АТФЕ.425119.072 ТУ")</f>
        <v>ARTOL-4 324 (датчик + магнит М-020) АТФЕ.425119.072 ТУ</v>
      </c>
      <c r="B862"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и более
 Основной цвет корпуса: черный или белый</v>
      </c>
      <c r="C862" s="9">
        <f ca="1">IFERROR(__xludf.DUMMYFUNCTION("""COMPUTED_VALUE"""),526.87635)</f>
        <v>526.87635</v>
      </c>
      <c r="D862" s="6"/>
      <c r="E862" s="8"/>
    </row>
    <row r="863" spans="1:5" ht="191.25">
      <c r="A863" s="5" t="str">
        <f ca="1">IFERROR(__xludf.DUMMYFUNCTION("""COMPUTED_VALUE"""),"ARTOL-4Р 551 (датчик + магнит М-025) АТФЕ.425119.072 ТУ")</f>
        <v>ARTOL-4Р 551 (датчик + магнит М-025) АТФЕ.425119.072 ТУ</v>
      </c>
      <c r="B863"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63" s="9">
        <f ca="1">IFERROR(__xludf.DUMMYFUNCTION("""COMPUTED_VALUE"""),1069.37985)</f>
        <v>1069.37985</v>
      </c>
      <c r="D863" s="6"/>
      <c r="E863" s="8"/>
    </row>
    <row r="864" spans="1:5" ht="191.25">
      <c r="A864" s="5" t="str">
        <f ca="1">IFERROR(__xludf.DUMMYFUNCTION("""COMPUTED_VALUE"""),"ARTOL-4Р 551 (датчик + магнит М-020) АТФЕ.425119.072 ТУ")</f>
        <v>ARTOL-4Р 551 (датчик + магнит М-020) АТФЕ.425119.072 ТУ</v>
      </c>
      <c r="B864"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64" s="9">
        <f ca="1">IFERROR(__xludf.DUMMYFUNCTION("""COMPUTED_VALUE"""),1057.39095)</f>
        <v>1057.39095</v>
      </c>
      <c r="D864" s="6"/>
      <c r="E864" s="8"/>
    </row>
    <row r="865" spans="1:5" ht="25.5">
      <c r="A865" s="5" t="str">
        <f ca="1">IFERROR(__xludf.DUMMYFUNCTION("""COMPUTED_VALUE"""),"Магнит М-020 АТФЕ.425119.072ТУ")</f>
        <v>Магнит М-020 АТФЕ.425119.072ТУ</v>
      </c>
      <c r="B865" s="6" t="str">
        <f ca="1">IFERROR(__xludf.DUMMYFUNCTION("""COMPUTED_VALUE"""),"магнит к датчикам ARTOL-4, ARTOL-3, МКМ-250-NO «ARTOL»")</f>
        <v>магнит к датчикам ARTOL-4, ARTOL-3, МКМ-250-NO «ARTOL»</v>
      </c>
      <c r="C865" s="9">
        <f ca="1">IFERROR(__xludf.DUMMYFUNCTION("""COMPUTED_VALUE"""),129.71805)</f>
        <v>129.71805000000001</v>
      </c>
      <c r="D865" s="6"/>
      <c r="E865" s="8"/>
    </row>
    <row r="866" spans="1:5" ht="25.5">
      <c r="A866" s="5" t="str">
        <f ca="1">IFERROR(__xludf.DUMMYFUNCTION("""COMPUTED_VALUE"""),"Магнит М-025 АТФЕ.425119.072ТУ")</f>
        <v>Магнит М-025 АТФЕ.425119.072ТУ</v>
      </c>
      <c r="B866" s="6" t="str">
        <f ca="1">IFERROR(__xludf.DUMMYFUNCTION("""COMPUTED_VALUE"""),"магнит к датчикам ARTOL-4, ARTOL-3, МКМ-250-NO «ARTOL»")</f>
        <v>магнит к датчикам ARTOL-4, ARTOL-3, МКМ-250-NO «ARTOL»</v>
      </c>
      <c r="C866" s="9">
        <f ca="1">IFERROR(__xludf.DUMMYFUNCTION("""COMPUTED_VALUE"""),170.7783)</f>
        <v>170.7783</v>
      </c>
      <c r="D866" s="6"/>
      <c r="E866" s="8"/>
    </row>
    <row r="867" spans="1:5" ht="25.5">
      <c r="A867" s="5" t="str">
        <f ca="1">IFERROR(__xludf.DUMMYFUNCTION("""COMPUTED_VALUE"""),"ARTOL-400 исп.00 (датчик) АТФЕ.425119.073 ПС")</f>
        <v>ARTOL-400 исп.00 (датчик) АТФЕ.425119.073 ПС</v>
      </c>
      <c r="B867" s="6" t="str">
        <f ca="1">IFERROR(__xludf.DUMMYFUNCTION("""COMPUTED_VALUE"""),"Корпус изготовлен из нержавейки 12х18Н10Т ГОСТ 19904-90. НР")</f>
        <v>Корпус изготовлен из нержавейки 12х18Н10Т ГОСТ 19904-90. НР</v>
      </c>
      <c r="C867" s="9">
        <f ca="1">IFERROR(__xludf.DUMMYFUNCTION("""COMPUTED_VALUE"""),695.8413)</f>
        <v>695.84130000000005</v>
      </c>
      <c r="D867" s="6"/>
      <c r="E867" s="8"/>
    </row>
    <row r="868" spans="1:5" ht="38.25">
      <c r="A868" s="5" t="str">
        <f ca="1">IFERROR(__xludf.DUMMYFUNCTION("""COMPUTED_VALUE"""),"ARTOL-400 исп.01 (датчик) АТФЕ.425119.073 ПС")</f>
        <v>ARTOL-400 исп.01 (датчик) АТФЕ.425119.073 ПС</v>
      </c>
      <c r="B868" s="6" t="str">
        <f ca="1">IFERROR(__xludf.DUMMYFUNCTION("""COMPUTED_VALUE"""),"Корпус изготовлен из нержавейки 12х18Н10Т ГОСТ 19904-90. Переключающий геркон")</f>
        <v>Корпус изготовлен из нержавейки 12х18Н10Т ГОСТ 19904-90. Переключающий геркон</v>
      </c>
      <c r="C868" s="9">
        <f ca="1">IFERROR(__xludf.DUMMYFUNCTION("""COMPUTED_VALUE"""),996.33765)</f>
        <v>996.33765000000005</v>
      </c>
      <c r="D868" s="6"/>
      <c r="E868" s="8"/>
    </row>
    <row r="869" spans="1:5" ht="12.75">
      <c r="A869" s="5" t="str">
        <f ca="1">IFERROR(__xludf.DUMMYFUNCTION("""COMPUTED_VALUE"""),"Магнит М4100, М4200, М4300 АТФЕ.425119.073 ПС")</f>
        <v>Магнит М4100, М4200, М4300 АТФЕ.425119.073 ПС</v>
      </c>
      <c r="B869" s="6" t="str">
        <f ca="1">IFERROR(__xludf.DUMMYFUNCTION("""COMPUTED_VALUE"""),"Магниты к датчикам ARTOL-400")</f>
        <v>Магниты к датчикам ARTOL-400</v>
      </c>
      <c r="C869" s="9">
        <f ca="1">IFERROR(__xludf.DUMMYFUNCTION("""COMPUTED_VALUE"""),381.53115)</f>
        <v>381.53115000000003</v>
      </c>
      <c r="D869" s="6"/>
      <c r="E869" s="8"/>
    </row>
    <row r="870" spans="1:5" ht="127.5">
      <c r="A870" s="5" t="str">
        <f ca="1">IFERROR(__xludf.DUMMYFUNCTION("""COMPUTED_VALUE"""),"Датчик положения магнитогерконовый МКМ-250-NO «ARTOL» IP68 (датчик без магнита) АТФЕ.425119.071 ТУ")</f>
        <v>Датчик положения магнитогерконовый МКМ-250-NO «ARTOL» IP68 (датчик без магнита) АТФЕ.425119.071 ТУ</v>
      </c>
      <c r="B870" s="6" t="str">
        <f ca="1">IFERROR(__xludf.DUMMYFUNCTION("""COMPUTED_VALUE"""),"Предназначен для работы только в цепях переменного тока 50/60 Гц! Температура окружающей среды -от - 50°С до +85°С
 Коммутируемая полная мощность не более -500 ВА (активная, индуктивная нагрузка)
 Коммутируемое напряжение - 24 --- 250 В 50/60Гц
 Диапазон "&amp;"коммутируемых токов - 0,01 --- 3А")</f>
        <v>Предназначен для работы только в цепях переменного тока 50/60 Гц! Температура окружающей среды -от - 50°С до +85°С
 Коммутируемая полная мощность не более -500 ВА (активная, индуктивная нагрузка)
 Коммутируемое напряжение - 24 --- 250 В 50/60Гц
 Диапазон коммутируемых токов - 0,01 --- 3А</v>
      </c>
      <c r="C870" s="9">
        <f ca="1">IFERROR(__xludf.DUMMYFUNCTION("""COMPUTED_VALUE"""),2442)</f>
        <v>2442</v>
      </c>
      <c r="D870" s="6"/>
      <c r="E870" s="8"/>
    </row>
    <row r="871" spans="1:5" ht="191.25">
      <c r="A871" s="5" t="str">
        <f ca="1">IFERROR(__xludf.DUMMYFUNCTION("""COMPUTED_VALUE"""),"МКМ-250-NO ARTOL
 с магнитом М-020 АТФЕ.425119.071 ТУ")</f>
        <v>МКМ-250-NO ARTOL
 с магнитом М-020 АТФЕ.425119.071 ТУ</v>
      </c>
      <c r="B871" s="6" t="str">
        <f ca="1">IFERROR(__xludf.DUMMYFUNCTION("""COMPUTED_VALUE"""),"Степень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к"&amp;"орпуса: черный или белый
 Контакты датчика: - замыкаются на расстоянии 10 мм и менее, - размыкаются на расстоянии 15 мм и более.")</f>
        <v>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10 мм и менее, - размыкаются на расстоянии 15 мм и более.</v>
      </c>
      <c r="C871" s="9">
        <f ca="1">IFERROR(__xludf.DUMMYFUNCTION("""COMPUTED_VALUE"""),2596)</f>
        <v>2596</v>
      </c>
      <c r="D871" s="6"/>
      <c r="E871" s="8"/>
    </row>
    <row r="872" spans="1:5" ht="191.25">
      <c r="A872" s="5" t="str">
        <f ca="1">IFERROR(__xludf.DUMMYFUNCTION("""COMPUTED_VALUE"""),"МКМ-250-NO ARTOL
 с магнитом М-025 АТФЕ.425119.071 ТУ")</f>
        <v>МКМ-250-NO ARTOL
 с магнитом М-025 АТФЕ.425119.071 ТУ</v>
      </c>
      <c r="B872" s="6" t="str">
        <f ca="1">IFERROR(__xludf.DUMMYFUNCTION("""COMPUTED_VALUE"""),"Степень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ко"&amp;"рпуса: черный или белый
 Контакты датчика: - замыкаются на расстоянии 10 мм и менее,- размыкаются на расстоянии 15 мм и более.")</f>
        <v>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10 мм и менее,- размыкаются на расстоянии 15 мм и более.</v>
      </c>
      <c r="C872" s="9">
        <f ca="1">IFERROR(__xludf.DUMMYFUNCTION("""COMPUTED_VALUE"""),3498)</f>
        <v>3498</v>
      </c>
      <c r="D872" s="6"/>
      <c r="E872" s="8"/>
    </row>
    <row r="873" spans="1:5" ht="38.25">
      <c r="A873" s="5" t="str">
        <f ca="1">IFERROR(__xludf.DUMMYFUNCTION("""COMPUTED_VALUE"""),"КМ-250-NO ""ARTOL"" (датчик без магнита ) АТФЕ.425119.071ТУ")</f>
        <v>КМ-250-NO "ARTOL" (датчик без магнита ) АТФЕ.425119.071ТУ</v>
      </c>
      <c r="B873" s="6" t="str">
        <f ca="1">IFERROR(__xludf.DUMMYFUNCTION("""COMPUTED_VALUE"""),"замкнут под действием магнита и разомкнут при прекращении действия магнита. Коммутация 220 В (500 Вт)")</f>
        <v>замкнут под действием магнита и разомкнут при прекращении действия магнита. Коммутация 220 В (500 Вт)</v>
      </c>
      <c r="C873" s="9">
        <f ca="1">IFERROR(__xludf.DUMMYFUNCTION("""COMPUTED_VALUE"""),3630)</f>
        <v>3630</v>
      </c>
      <c r="D873" s="6"/>
      <c r="E873" s="8"/>
    </row>
    <row r="874" spans="1:5" ht="51">
      <c r="A874" s="5" t="str">
        <f ca="1">IFERROR(__xludf.DUMMYFUNCTION("""COMPUTED_VALUE"""),"КМ-250-NС ""ARTOL"" (датчик без магнита) АТФЕ.425119.071ТУ")</f>
        <v>КМ-250-NС "ARTOL" (датчик без магнита) АТФЕ.425119.071ТУ</v>
      </c>
      <c r="B874" s="6" t="str">
        <f ca="1">IFERROR(__xludf.DUMMYFUNCTION("""COMPUTED_VALUE"""),"КМ-250-NС ""ARTOL"" разомкнут под действием магнита и замкнут при прекращении действия магнита. Коммутация 220 В (500 Вт)")</f>
        <v>КМ-250-NС "ARTOL" разомкнут под действием магнита и замкнут при прекращении действия магнита. Коммутация 220 В (500 Вт)</v>
      </c>
      <c r="C874" s="9">
        <f ca="1">IFERROR(__xludf.DUMMYFUNCTION("""COMPUTED_VALUE"""),4400)</f>
        <v>4400</v>
      </c>
      <c r="D874" s="6"/>
      <c r="E874" s="8"/>
    </row>
    <row r="875" spans="1:5" ht="140.25">
      <c r="A875" s="5" t="str">
        <f ca="1">IFERROR(__xludf.DUMMYFUNCTION("""COMPUTED_VALUE"""),"КМ-250-NO ""ARTOL"" (c магнитом М-030) АТФЕ.425119.071ТУ")</f>
        <v>КМ-250-NO "ARTOL" (c магнитом М-030) АТФЕ.425119.071ТУ</v>
      </c>
      <c r="B875" s="6" t="str">
        <f ca="1">IFERROR(__xludf.DUMMYFUNCTION("""COMPUTED_VALUE"""),"IP68,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"&amp;"- замыкаются на расстоянии 20 мм и менее, размыкаются на расстоянии 40 мм и более.")</f>
        <v>IP68,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20 мм и менее, размыкаются на расстоянии 40 мм и более.</v>
      </c>
      <c r="C875" s="9">
        <f ca="1">IFERROR(__xludf.DUMMYFUNCTION("""COMPUTED_VALUE"""),5500)</f>
        <v>5500</v>
      </c>
      <c r="D875" s="6"/>
      <c r="E875" s="8"/>
    </row>
    <row r="876" spans="1:5" ht="153">
      <c r="A876" s="5" t="str">
        <f ca="1">IFERROR(__xludf.DUMMYFUNCTION("""COMPUTED_VALUE"""),"КМ-250-NO ""ARTOL"" (c магнитом М-025) АТФЕ.425119.071ТУ")</f>
        <v>КМ-250-NO "ARTOL" (c магнитом М-025) АТФЕ.425119.071ТУ</v>
      </c>
      <c r="B876" s="6" t="str">
        <f ca="1">IFERROR(__xludf.DUMMYFUNCTION("""COMPUTED_VALUE"""),"IP68, температура окружающей среды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"&amp;"замыкаются на расстоянии 13 мм и менее, размыкаются на расстоянии 35 мм и более.")</f>
        <v>IP68, температура окружающей среды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13 мм и менее, размыкаются на расстоянии 35 мм и более.</v>
      </c>
      <c r="C876" s="9">
        <f ca="1">IFERROR(__xludf.DUMMYFUNCTION("""COMPUTED_VALUE"""),4180)</f>
        <v>4180</v>
      </c>
      <c r="D876" s="6"/>
      <c r="E876" s="8"/>
    </row>
    <row r="877" spans="1:5" ht="140.25">
      <c r="A877" s="5" t="str">
        <f ca="1">IFERROR(__xludf.DUMMYFUNCTION("""COMPUTED_VALUE"""),"КМ-250-NС ""ARTOL"" (c магнитом М-030) АТФЕ.425119.071ТУ")</f>
        <v>КМ-250-NС "ARTOL" (c магнитом М-030) АТФЕ.425119.071ТУ</v>
      </c>
      <c r="B877" s="6" t="str">
        <f ca="1">IFERROR(__xludf.DUMMYFUNCTION("""COMPUTED_VALUE"""),"IP68, температура окружающей среды - от минус 50°С до +85°С, коммутируемая мощность - 500 ВА (активная, индуктивная нагрузка),коммутируемые: напряжение - 24 --- 250 В 50/60Гц
  ток -0,01 --- 3А 
 Основной цвет корпуса: черный или белый
 Контакты датчика: "&amp;"- размыкаются на расстоянии 15 мм и менее, замыкаются на расстоянии 35 мм и более.")</f>
        <v>IP68, температура окружающей среды - от минус 50°С до +85°С, коммутируемая мощность - 500 ВА (активная, индуктивная нагрузка),коммутируемые: напряжение - 24 --- 250 В 50/60Гц
  ток -0,01 --- 3А 
 Основной цвет корпуса: черный или белый
 Контакты датчика: - размыкаются на расстоянии 15 мм и менее, замыкаются на расстоянии 35 мм и более.</v>
      </c>
      <c r="C877" s="9">
        <f ca="1">IFERROR(__xludf.DUMMYFUNCTION("""COMPUTED_VALUE"""),6160)</f>
        <v>6160</v>
      </c>
      <c r="D877" s="6"/>
      <c r="E877" s="8"/>
    </row>
    <row r="878" spans="1:5" ht="140.25">
      <c r="A878" s="5" t="str">
        <f ca="1">IFERROR(__xludf.DUMMYFUNCTION("""COMPUTED_VALUE"""),"КМ-250-NС ""ARTOL"" (c магнитом М-025) АТФЕ.425119.071ТУ")</f>
        <v>КМ-250-NС "ARTOL" (c магнитом М-025) АТФЕ.425119.071ТУ</v>
      </c>
      <c r="B878" s="6" t="str">
        <f ca="1">IFERROR(__xludf.DUMMYFUNCTION("""COMPUTED_VALUE"""),"IP68, температура окружающей среды - от минус 50°С до +85°С, коммутируемая мощность - 500 ВА (активная, индуктивная нагрузка), коммутируемые: напряжение - 24 --- 250 В 50/60Гц, ток - 0,01 --- 3А 
 Основной цвет корпуса: черный или белый
 Контакты датчика:"&amp;" - размыкаются на расстоянии 12 мм и менее, замыкаются на расстоянии 15 мм и более.")</f>
        <v>IP68, температура окружающей среды - от минус 50°С до +85°С, коммутируемая мощность - 500 ВА (активная, индуктивная нагрузка), коммутируемые: напряжение - 24 --- 250 В 50/60Гц, ток - 0,01 --- 3А 
 Основной цвет корпуса: черный или белый
 Контакты датчика: - размыкаются на расстоянии 12 мм и менее, замыкаются на расстоянии 15 мм и более.</v>
      </c>
      <c r="C878" s="9">
        <f ca="1">IFERROR(__xludf.DUMMYFUNCTION("""COMPUTED_VALUE"""),4950)</f>
        <v>4950</v>
      </c>
      <c r="D878" s="6"/>
      <c r="E878" s="8"/>
    </row>
    <row r="879" spans="1:5" ht="140.25">
      <c r="A879" s="5" t="str">
        <f ca="1">IFERROR(__xludf.DUMMYFUNCTION("""COMPUTED_VALUE"""),"КМ-250-NO-NС ""ARTOL"" (c магнитом М-030) АТФЕ.425119.071ТУ")</f>
        <v>КМ-250-NO-NС "ARTOL" (c магнитом М-030) АТФЕ.425119.071ТУ</v>
      </c>
      <c r="B879" s="6" t="str">
        <f ca="1">IFERROR(__xludf.DUMMYFUNCTION("""COMPUTED_VALUE"""),"IP68, температура окружающей среды -от минус 50°С до +85°С, коммутируемая мощность -500 ВА (активная, индуктивная нагрузка), коммутируемые: напряжение - 24 --- 250 В 50/60Гц, ток - 0,01 --- 3А 
 Основной цвет корпуса: черный или белый
 Контакты датчика: -"&amp;" переключаются на расстоянии 15 мм и менее, возврат обратно на расстоянии 35 мм и более.")</f>
        <v>IP68, температура окружающей среды -от минус 50°С до +85°С, коммутируемая мощность -500 ВА (активная, индуктивная нагрузка), коммутируемые: напряжение - 24 --- 250 В 50/60Гц, ток - 0,01 --- 3А 
 Основной цвет корпуса: черный или белый
 Контакты датчика: - переключаются на расстоянии 15 мм и менее, возврат обратно на расстоянии 35 мм и более.</v>
      </c>
      <c r="C879" s="9">
        <f ca="1">IFERROR(__xludf.DUMMYFUNCTION("""COMPUTED_VALUE"""),6380)</f>
        <v>6380</v>
      </c>
      <c r="D879" s="6"/>
      <c r="E879" s="8"/>
    </row>
    <row r="880" spans="1:5" ht="140.25">
      <c r="A880" s="5" t="str">
        <f ca="1">IFERROR(__xludf.DUMMYFUNCTION("""COMPUTED_VALUE"""),"КМ-250-NO-NС ""ARTOL"" (c магнитом М-025) АТФЕ.425119.071ТУ")</f>
        <v>КМ-250-NO-NС "ARTOL" (c магнитом М-025) АТФЕ.425119.071ТУ</v>
      </c>
      <c r="B880" s="6" t="str">
        <f ca="1">IFERROR(__xludf.DUMMYFUNCTION("""COMPUTED_VALUE"""),"IP68, температура окружающей среды -от минус 50°С до +85°С, коммутируемая мощность - 500 ВА (активная, индуктивная нагрузка), коммутируемые: напряжение - 24 --- 250 В 50/60Гц, ток-0,01 --- 3А 
 Основной цвет корпуса: черный или белый
 Контакты датчика: - "&amp;"переключаются на расстоянии 12 мм и менее, возврат обратно на расстоянии 15 мм и более.")</f>
        <v>IP68, температура окружающей среды -от минус 50°С до +85°С, коммутируемая мощность - 500 ВА (активная, индуктивная нагрузка), коммутируемые: напряжение - 24 --- 250 В 50/60Гц, ток-0,01 --- 3А 
 Основной цвет корпуса: черный или белый
 Контакты датчика: - переключаются на расстоянии 12 мм и менее, возврат обратно на расстоянии 15 мм и более.</v>
      </c>
      <c r="C880" s="9">
        <f ca="1">IFERROR(__xludf.DUMMYFUNCTION("""COMPUTED_VALUE"""),5940)</f>
        <v>5940</v>
      </c>
      <c r="D880" s="6"/>
      <c r="E880" s="8"/>
    </row>
    <row r="881" spans="1:5" ht="165.75">
      <c r="A881" s="5" t="str">
        <f ca="1">IFERROR(__xludf.DUMMYFUNCTION("""COMPUTED_VALUE"""),"КМ-250-NO ""ARTOL""исп.100 АТФЕ.425119.071ТУ")</f>
        <v>КМ-250-NO "ARTOL"исп.100 АТФЕ.425119.071ТУ</v>
      </c>
      <c r="B881"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и"&amp;" менее, размыкаются на расстоянии 23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и менее, размыкаются на расстоянии 23 мм и более. Покрытие корпусов вандалоустойчивыми красками: Антик, Антик серебряный, порошковые - +150 руб., покрытие простыми красками - + 100руб.</v>
      </c>
      <c r="C881" s="9">
        <f ca="1">IFERROR(__xludf.DUMMYFUNCTION("""COMPUTED_VALUE"""),2640)</f>
        <v>2640</v>
      </c>
      <c r="D881" s="6"/>
      <c r="E881" s="8"/>
    </row>
    <row r="882" spans="1:5" ht="165.75">
      <c r="A882" s="5" t="str">
        <f ca="1">IFERROR(__xludf.DUMMYFUNCTION("""COMPUTED_VALUE"""),"КМ-250-NС ""ARTOL""исп.100 АТФЕ.425119.071ТУ")</f>
        <v>КМ-250-NС "ARTOL"исп.100 АТФЕ.425119.071ТУ</v>
      </c>
      <c r="B882"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размыкаются на расстоянии 17 мм"&amp;" 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размыкаются на расстоянии 17 мм 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2" s="9">
        <f ca="1">IFERROR(__xludf.DUMMYFUNCTION("""COMPUTED_VALUE"""),3080)</f>
        <v>3080</v>
      </c>
      <c r="D882" s="6"/>
      <c r="E882" s="8"/>
    </row>
    <row r="883" spans="1:5" ht="165.75">
      <c r="A883" s="5" t="str">
        <f ca="1">IFERROR(__xludf.DUMMYFUNCTION("""COMPUTED_VALUE"""),"КМ-250-NO-NС ""ARTOL"" исп.100 АТФЕ.425119.071ТУ")</f>
        <v>КМ-250-NO-NС "ARTOL" исп.100 АТФЕ.425119.071ТУ</v>
      </c>
      <c r="B883" s="6" t="str">
        <f ca="1">IFERROR(__xludf.DUMMYFUNCTION("""COMPUTED_VALUE"""),"IP68,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17 "&amp;"мм и менее,возврат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17 мм и менее,возврат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3" s="9">
        <f ca="1">IFERROR(__xludf.DUMMYFUNCTION("""COMPUTED_VALUE"""),3630)</f>
        <v>3630</v>
      </c>
      <c r="D883" s="6"/>
      <c r="E883" s="8"/>
    </row>
    <row r="884" spans="1:5" ht="165.75">
      <c r="A884" s="5" t="str">
        <f ca="1">IFERROR(__xludf.DUMMYFUNCTION("""COMPUTED_VALUE"""),"КМ-250-NO ""ARTOL""исп.200 АТФЕ.425119.071ТУ")</f>
        <v>КМ-250-NO "ARTOL"исп.200 АТФЕ.425119.071ТУ</v>
      </c>
      <c r="B884"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17 мм и"&amp;" менее, размыкаются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17 мм и менее, размыкаются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4" s="9">
        <f ca="1">IFERROR(__xludf.DUMMYFUNCTION("""COMPUTED_VALUE"""),4070)</f>
        <v>4070</v>
      </c>
      <c r="D884" s="6"/>
      <c r="E884" s="8"/>
    </row>
    <row r="885" spans="1:5" ht="165.75">
      <c r="A885" s="5" t="str">
        <f ca="1">IFERROR(__xludf.DUMMYFUNCTION("""COMPUTED_VALUE"""),"КМ-250-NС ""ARTOL""исп.200 АТФЕ.425119.071ТУ")</f>
        <v>КМ-250-NС "ARTOL"исп.200 АТФЕ.425119.071ТУ</v>
      </c>
      <c r="B885" s="6" t="str">
        <f ca="1">IFERROR(__xludf.DUMMYFUNCTION("""COMPUTED_VALUE"""),"IP68, температура окружающей среды - от минус 50°С до +85°С, коммутируемая мощность не более-500 ВА (активная, индуктивная нагрузка), коммутируемые: напряжение - 24 --- 250 В 50/60Гц, ток- 0,01 --- 3А 
 Контакты датчика: - размыкаются на расстоянии 17 мм "&amp;"и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 от минус 50°С до +85°С, коммутируемая мощность не более-500 ВА (активная, индуктивная нагрузка), коммутируемые: напряжение - 24 --- 250 В 50/60Гц, ток- 0,01 --- 3А 
 Контакты датчика: - размыкаются на расстоянии 17 мм 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5" s="9">
        <f ca="1">IFERROR(__xludf.DUMMYFUNCTION("""COMPUTED_VALUE"""),4290)</f>
        <v>4290</v>
      </c>
      <c r="D885" s="6"/>
      <c r="E885" s="8"/>
    </row>
    <row r="886" spans="1:5" ht="165.75">
      <c r="A886" s="5" t="str">
        <f ca="1">IFERROR(__xludf.DUMMYFUNCTION("""COMPUTED_VALUE"""),"КМ-250-NO-NС ""ARTOL"" исп.200 АТФЕ.425119.071ТУ")</f>
        <v>КМ-250-NO-NС "ARTOL" исп.200 АТФЕ.425119.071ТУ</v>
      </c>
      <c r="B886"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переключаются на расстоянии 17 "&amp;"мм и менее, 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переключаются на расстоянии 17 мм и менее, 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6" s="9">
        <f ca="1">IFERROR(__xludf.DUMMYFUNCTION("""COMPUTED_VALUE"""),4730)</f>
        <v>4730</v>
      </c>
      <c r="D886" s="6"/>
      <c r="E886" s="8"/>
    </row>
    <row r="887" spans="1:5" ht="178.5">
      <c r="A887" s="5" t="str">
        <f ca="1">IFERROR(__xludf.DUMMYFUNCTION("""COMPUTED_VALUE"""),"КМ-250-NO ""ARTOL""исп.250 АТФЕ.425119.071ТУ")</f>
        <v>КМ-250-NO "ARTOL"исп.250 АТФЕ.425119.071ТУ</v>
      </c>
      <c r="B887"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замыкаются на расстоянии 105 мм"&amp;" и менее, размыкаются на расстоянии 120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замыкаются на расстоянии 105 мм и менее, размыкаются на расстоянии 120 мм и более. Покрытие корпусов вандалоустойчивыми красками: Антик, Антик серебряный, порошковые - +150 руб., покрытие простыми красками - + 100руб.</v>
      </c>
      <c r="C887" s="9">
        <f ca="1">IFERROR(__xludf.DUMMYFUNCTION("""COMPUTED_VALUE"""),5544)</f>
        <v>5544</v>
      </c>
      <c r="D887" s="6"/>
      <c r="E887" s="8"/>
    </row>
    <row r="888" spans="1:5" ht="165.75">
      <c r="A888" s="5" t="str">
        <f ca="1">IFERROR(__xludf.DUMMYFUNCTION("""COMPUTED_VALUE"""),"КМ-250-NС ""ARTOL""исп.250 АТФЕ.425119.071ТУ")</f>
        <v>КМ-250-NС "ARTOL"исп.250 АТФЕ.425119.071ТУ</v>
      </c>
      <c r="B888" s="6" t="str">
        <f ca="1">IFERROR(__xludf.DUMMYFUNCTION("""COMPUTED_VALUE"""),"IP68, температура окружающей среды - от минус 50°С до +85°С, коммутируемая мощность не более -500 ВА (активная, индуктивная нагрузка), коммутируемые: напряжение - 24 --- 250 В 50/60Гц, ток- 0,01 --- 3А 
 Контакты датчика: - размыкаются на расстоянии 90 мм"&amp;" и менее, замыкаются на расстоянии 125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 от минус 50°С до +85°С, коммутируемая мощность не более -500 ВА (активная, индуктивная нагрузка), коммутируемые: напряжение - 24 --- 250 В 50/60Гц, ток- 0,01 --- 3А 
 Контакты датчика: - размыкаются на расстоянии 90 мм и менее, замыкаются на расстоянии 125 мм и более. Покрытие корпусов вандалоустойчивыми красками: Антик, Антик серебряный, порошковые - +150 руб., покрытие простыми красками - + 100руб.</v>
      </c>
      <c r="C888" s="9">
        <f ca="1">IFERROR(__xludf.DUMMYFUNCTION("""COMPUTED_VALUE"""),6204)</f>
        <v>6204</v>
      </c>
      <c r="D888" s="6"/>
      <c r="E888" s="8"/>
    </row>
    <row r="889" spans="1:5" ht="165.75">
      <c r="A889" s="5" t="str">
        <f ca="1">IFERROR(__xludf.DUMMYFUNCTION("""COMPUTED_VALUE"""),"КМ-250-NO-NС ""ARTOL"" исп.250 АТФЕ.425119.071ТУ")</f>
        <v>КМ-250-NO-NС "ARTOL" исп.250 АТФЕ.425119.071ТУ</v>
      </c>
      <c r="B889"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90 м"&amp;"м и менее, возврат обратно на расстоянии 125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90 мм и менее, возврат обратно на расстоянии 125 мм и более. Покрытие корпусов вандалоустойчивыми красками: Антик, Антик серебряный, порошковые - +150 руб., покрытие простыми красками - + 100руб.</v>
      </c>
      <c r="C889" s="9">
        <f ca="1">IFERROR(__xludf.DUMMYFUNCTION("""COMPUTED_VALUE"""),6336)</f>
        <v>6336</v>
      </c>
      <c r="D889" s="6"/>
      <c r="E889" s="8"/>
    </row>
    <row r="890" spans="1:5" ht="114.75">
      <c r="A890" s="5" t="str">
        <f ca="1">IFERROR(__xludf.DUMMYFUNCTION("""COMPUTED_VALUE"""),"КМ-250-NO ""ARTOL""исп.300 АТФЕ.425119.071ТУ")</f>
        <v>КМ-250-NO "ARTOL"исп.300 АТФЕ.425119.071ТУ</v>
      </c>
      <c r="B890" s="6" t="str">
        <f ca="1">IFERROR(__xludf.DUMMYFUNCTION("""COMPUTED_VALUE"""),"IP68,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"&amp;"и менее, размыкаются на расстоянии 35 мм и более.")</f>
        <v>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и менее, размыкаются на расстоянии 35 мм и более.</v>
      </c>
      <c r="C890" s="9">
        <f ca="1">IFERROR(__xludf.DUMMYFUNCTION("""COMPUTED_VALUE"""),11770)</f>
        <v>11770</v>
      </c>
      <c r="D890" s="6"/>
      <c r="E890" s="8"/>
    </row>
    <row r="891" spans="1:5" ht="114.75">
      <c r="A891" s="5" t="str">
        <f ca="1">IFERROR(__xludf.DUMMYFUNCTION("""COMPUTED_VALUE"""),"КМ-250-NС ""ARTOL""исп.300 АТФЕ.425119.071ТУ")</f>
        <v>КМ-250-NС "ARTOL"исп.300 АТФЕ.425119.071ТУ</v>
      </c>
      <c r="B891" s="6" t="str">
        <f ca="1">IFERROR(__xludf.DUMMYFUNCTION("""COMPUTED_VALUE"""),"IP68,температура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размыкаются на расстоянии 15 мм "&amp;"и менее, замыкаются на расстоянии 30 мм и более.")</f>
        <v>IP68,температура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размыкаются на расстоянии 15 мм и менее, замыкаются на расстоянии 30 мм и более.</v>
      </c>
      <c r="C891" s="9">
        <f ca="1">IFERROR(__xludf.DUMMYFUNCTION("""COMPUTED_VALUE"""),12100)</f>
        <v>12100</v>
      </c>
      <c r="D891" s="6"/>
      <c r="E891" s="8"/>
    </row>
    <row r="892" spans="1:5" ht="25.5">
      <c r="A892" s="5" t="str">
        <f ca="1">IFERROR(__xludf.DUMMYFUNCTION("""COMPUTED_VALUE"""),"КМ-250-NO ""ARTOL"" исп.300 (магнит) АТФЕ.425119.071ТУ")</f>
        <v>КМ-250-NO "ARTOL" исп.300 (магнит) АТФЕ.425119.071ТУ</v>
      </c>
      <c r="B892" s="6" t="str">
        <f ca="1">IFERROR(__xludf.DUMMYFUNCTION("""COMPUTED_VALUE"""),"магнит к датчику КМ-250-NO ""ARTOL"" исп.300")</f>
        <v>магнит к датчику КМ-250-NO "ARTOL" исп.300</v>
      </c>
      <c r="C892" s="9">
        <f ca="1">IFERROR(__xludf.DUMMYFUNCTION("""COMPUTED_VALUE"""),3707)</f>
        <v>3707</v>
      </c>
      <c r="D892" s="6"/>
      <c r="E892" s="8"/>
    </row>
    <row r="893" spans="1:5" ht="165.75">
      <c r="A893" s="5" t="str">
        <f ca="1">IFERROR(__xludf.DUMMYFUNCTION("""COMPUTED_VALUE"""),"КМ-250-12А-NO «ARTOL» АТФЕ 425119.080 ПС IP64")</f>
        <v>КМ-250-12А-NO «ARTOL» АТФЕ 425119.080 ПС IP64</v>
      </c>
      <c r="B893" s="6" t="str">
        <f ca="1">IFERROR(__xludf.DUMMYFUNCTION("""COMPUTED_VALUE"""),"Датчик положенияКМ-250-12А «ARTOL» предназначен для блокировки стальных ворот, дверей ангаров, других конструктивных элементов зданий и сооружений на открывание или смещение с выдачей сигнала путем коммутации цепей переменного тока; коммутации цепей перем"&amp;"енного тока в системах автоматики. Корпуса датчика и магнита изготовлены из металла. Контакты датчика замкнуты под действием магнита и разомкнуты при прекращении действия магнита.")</f>
        <v>Датчик положенияКМ-250-12А «ARTOL» предназначен для блокировки стальных ворот, дверей ангаров, других конструктивных элементов зданий и сооружений на открывание или смещение с выдачей сигнала путем коммутации цепей переменного тока; коммутации цепей переменного тока в системах автоматики. Корпуса датчика и магнита изготовлены из металла. Контакты датчика замкнуты под действием магнита и разомкнуты при прекращении действия магнита.</v>
      </c>
      <c r="C893" s="9">
        <f ca="1">IFERROR(__xludf.DUMMYFUNCTION("""COMPUTED_VALUE"""),3630)</f>
        <v>3630</v>
      </c>
      <c r="D893" s="6"/>
      <c r="E893" s="8"/>
    </row>
    <row r="894" spans="1:5" ht="38.25">
      <c r="A894" s="5" t="str">
        <f ca="1">IFERROR(__xludf.DUMMYFUNCTION("""COMPUTED_VALUE"""),"КМ-250-12А-NC «ARTOL» АТФЕ 425119.080 ПС IP64")</f>
        <v>КМ-250-12А-NC «ARTOL» АТФЕ 425119.080 ПС IP64</v>
      </c>
      <c r="B894" s="6" t="str">
        <f ca="1">IFERROR(__xludf.DUMMYFUNCTION("""COMPUTED_VALUE"""),"Контакты датчика разомкнуты под действием магнита и замкнуты при прекращении действия магнита.")</f>
        <v>Контакты датчика разомкнуты под действием магнита и замкнуты при прекращении действия магнита.</v>
      </c>
      <c r="C894" s="9">
        <f ca="1">IFERROR(__xludf.DUMMYFUNCTION("""COMPUTED_VALUE"""),3740)</f>
        <v>3740</v>
      </c>
      <c r="D894" s="6"/>
      <c r="E894" s="8"/>
    </row>
    <row r="895" spans="1:5" ht="51">
      <c r="A895" s="5" t="str">
        <f ca="1">IFERROR(__xludf.DUMMYFUNCTION("""COMPUTED_VALUE"""),"КМ-250-12А-NO-NC «ARTOL» АТФЕ 425119.080 ПС IP64")</f>
        <v>КМ-250-12А-NO-NC «ARTOL» АТФЕ 425119.080 ПС IP64</v>
      </c>
      <c r="B895" s="6" t="str">
        <f ca="1">IFERROR(__xludf.DUMMYFUNCTION("""COMPUTED_VALUE"""),"Контакты датчика переключены под действием магнита, переход в исходное состояние при прекращении действия магнита")</f>
        <v>Контакты датчика переключены под действием магнита, переход в исходное состояние при прекращении действия магнита</v>
      </c>
      <c r="C895" s="9">
        <f ca="1">IFERROR(__xludf.DUMMYFUNCTION("""COMPUTED_VALUE"""),4620)</f>
        <v>4620</v>
      </c>
      <c r="D895" s="6"/>
      <c r="E895" s="8"/>
    </row>
    <row r="896" spans="1:5" ht="255">
      <c r="A896" s="5" t="str">
        <f ca="1">IFERROR(__xludf.DUMMYFUNCTION("""COMPUTED_VALUE"""),"Электромеханическое поворотное устройство (ЭПУ) ПАШК.421321.001")</f>
        <v>Электромеханическое поворотное устройство (ЭПУ) ПАШК.421321.001</v>
      </c>
      <c r="B896" s="6" t="str">
        <f ca="1">IFERROR(__xludf.DUMMYFUNCTION("""COMPUTED_VALUE"""),"Устройство электромеханическое поворотное для управления рычагом шарового крана, установленного на жидкостном или газовом трубопроводе. Устройство оснащено поворотным механизмом. Монтаж устройства не требует разборки трубопровода, устройство может быть ус"&amp;"тановлено самостоятельно. С помощью крепежного элемента устройство устанавливается непосредственно на трубопровод диаметром ½
 , ¾, 1, 1+1/4, 1+½ дюйма. Устройство приводится в действие как электрическим, так и ручным способом. Номинальное напряжение пита"&amp;"ния постоянного тока 12В. Габаритные размеры 94х70х145. Диапазон температур -10°С до +50°С (для кранов рычаг)")</f>
        <v>Устройство электромеханическое поворотное для управления рычагом шарового крана, установленного на жидкостном или газовом трубопроводе. Устройство оснащено поворотным механизмом. Монтаж устройства не требует разборки трубопровода, устройство может быть установлено самостоятельно. С помощью крепежного элемента устройство устанавливается непосредственно на трубопровод диаметром ½
 , ¾, 1, 1+1/4, 1+½ дюйма. Устройство приводится в действие как электрическим, так и ручным способом. Номинальное напряжение питания постоянного тока 12В. Габаритные размеры 94х70х145. Диапазон температур -10°С до +50°С (для кранов рычаг)</v>
      </c>
      <c r="C896" s="9">
        <f ca="1">IFERROR(__xludf.DUMMYFUNCTION("""COMPUTED_VALUE"""),3983.837)</f>
        <v>3983.837</v>
      </c>
      <c r="D896" s="6"/>
      <c r="E896" s="8"/>
    </row>
    <row r="897" spans="1:5" ht="102">
      <c r="A897" s="5" t="str">
        <f ca="1">IFERROR(__xludf.DUMMYFUNCTION("""COMPUTED_VALUE"""),"Электромеханическое поворотное устройство со встроенными датчиками положения (ЭПУ) ПАШК.421321.002")</f>
        <v>Электромеханическое поворотное устройство со встроенными датчиками положения (ЭПУ) ПАШК.421321.002</v>
      </c>
      <c r="B897" s="6" t="str">
        <f ca="1">IFERROR(__xludf.DUMMYFUNCTION("""COMPUTED_VALUE"""),"Номинальное напряжение питания постоянного тока 12В. Габаритные размеры 94х70х145. Диапазон температур -10°С до +50°С. Полная гальваническая развязка, сухие контакты концевых датчиков указывают крайние положения поворотного устройства (для кранов рычаг)")</f>
        <v>Номинальное напряжение питания постоянного тока 12В. Габаритные размеры 94х70х145. Диапазон температур -10°С до +50°С. Полная гальваническая развязка, сухие контакты концевых датчиков указывают крайние положения поворотного устройства (для кранов рычаг)</v>
      </c>
      <c r="C897" s="9">
        <f ca="1">IFERROR(__xludf.DUMMYFUNCTION("""COMPUTED_VALUE"""),5433.142)</f>
        <v>5433.1419999999998</v>
      </c>
      <c r="D897" s="6"/>
      <c r="E897" s="8"/>
    </row>
    <row r="898" spans="1:5" ht="114.75">
      <c r="A898" s="5" t="str">
        <f ca="1">IFERROR(__xludf.DUMMYFUNCTION("""COMPUTED_VALUE"""),"Блок управления реверсивным двигателем БУРД ""РЕВЕРС"" ПАШК.421321.002-01")</f>
        <v>Блок управления реверсивным двигателем БУРД "РЕВЕРС" ПАШК.421321.002-01</v>
      </c>
      <c r="B898" s="6" t="str">
        <f ca="1">IFERROR(__xludf.DUMMYFUNCTION("""COMPUTED_VALUE"""),"блок управления реверсивным двигателем позволяет управлять электромеханическим поворотным устройством (ЭПУ) различными способами: вручную и автоматически. Оснащен светодиодами D2 и D3, с помощью которых можно определить состояние ЭПУ: ""открыто"", ""закры"&amp;"то"". IP 20")</f>
        <v>блок управления реверсивным двигателем позволяет управлять электромеханическим поворотным устройством (ЭПУ) различными способами: вручную и автоматически. Оснащен светодиодами D2 и D3, с помощью которых можно определить состояние ЭПУ: "открыто", "закрыто". IP 20</v>
      </c>
      <c r="C898" s="9">
        <f ca="1">IFERROR(__xludf.DUMMYFUNCTION("""COMPUTED_VALUE"""),718.762)</f>
        <v>718.76199999999994</v>
      </c>
      <c r="D898" s="6"/>
      <c r="E898" s="8"/>
    </row>
    <row r="899" spans="1:5" ht="153">
      <c r="A899" s="5" t="str">
        <f ca="1">IFERROR(__xludf.DUMMYFUNCTION("""COMPUTED_VALUE"""),"БЗЛ-ШП ""АЯКС"" исп.01 ПАШК.425243.002")</f>
        <v>БЗЛ-ШП "АЯКС" исп.01 ПАШК.425243.002</v>
      </c>
      <c r="B899" s="6" t="str">
        <f ca="1">IFERROR(__xludf.DUMMYFUNCTION("""COMPUTED_VALUE"""),"Блок защиты линии шлейфа сигнализации и питания приборов систем сигнализации. Предназначен для защиты оборудования,
 подключенного по протяженным линиям к шлейфам сигнализации связи и линиям вторичного питания систем сигнализации от импульсных перенапряже"&amp;"ний и помех, вызванных электромагнитными импульсами высоких энергий.
 12 В, IP 65")</f>
        <v>Блок защиты линии шлейфа сигнализации и питания приборов систем сигнализации. Предназначен для защиты оборудования,
 подключенного по протяженным линиям к шлейфам сигнализации связи и линиям вторичного питания систем сигнализации от импульсных перенапряжений и помех, вызванных электромагнитными импульсами высоких энергий.
 12 В, IP 65</v>
      </c>
      <c r="C899" s="9">
        <f ca="1">IFERROR(__xludf.DUMMYFUNCTION("""COMPUTED_VALUE"""),3824.48)</f>
        <v>3824.48</v>
      </c>
      <c r="D899" s="6"/>
      <c r="E899" s="8"/>
    </row>
    <row r="900" spans="1:5" ht="38.25">
      <c r="A900" s="5" t="str">
        <f ca="1">IFERROR(__xludf.DUMMYFUNCTION("""COMPUTED_VALUE"""),"БЗЛ-ШП ""АЯКС"" исп.02 ПАШК.425243.002")</f>
        <v>БЗЛ-ШП "АЯКС" исп.02 ПАШК.425243.002</v>
      </c>
      <c r="B900" s="6" t="str">
        <f ca="1">IFERROR(__xludf.DUMMYFUNCTION("""COMPUTED_VALUE"""),"Блок защиты линии шлейфа сигнализации и питания приборов систем сигнализации. 24 В, IP 65")</f>
        <v>Блок защиты линии шлейфа сигнализации и питания приборов систем сигнализации. 24 В, IP 65</v>
      </c>
      <c r="C900" s="9">
        <f ca="1">IFERROR(__xludf.DUMMYFUNCTION("""COMPUTED_VALUE"""),3824.48)</f>
        <v>3824.48</v>
      </c>
      <c r="D900" s="6"/>
      <c r="E900" s="8"/>
    </row>
    <row r="901" spans="1:5" ht="38.25">
      <c r="A901" s="5" t="str">
        <f ca="1">IFERROR(__xludf.DUMMYFUNCTION("""COMPUTED_VALUE"""),"БЗЛ-ШП ""АЯКС"" исп.03 ПАШК.425243.002")</f>
        <v>БЗЛ-ШП "АЯКС" исп.03 ПАШК.425243.002</v>
      </c>
      <c r="B901" s="6" t="str">
        <f ca="1">IFERROR(__xludf.DUMMYFUNCTION("""COMPUTED_VALUE"""),"Блок защиты линии шлейфа сигнализации и питания приборов систем сигнализации. 12 В, 24 В, IP 65")</f>
        <v>Блок защиты линии шлейфа сигнализации и питания приборов систем сигнализации. 12 В, 24 В, IP 65</v>
      </c>
      <c r="C901" s="9">
        <f ca="1">IFERROR(__xludf.DUMMYFUNCTION("""COMPUTED_VALUE"""),3824.48)</f>
        <v>3824.48</v>
      </c>
      <c r="D901" s="6"/>
      <c r="E901" s="8"/>
    </row>
    <row r="902" spans="1:5" ht="114.75">
      <c r="A902" s="5" t="str">
        <f ca="1">IFERROR(__xludf.DUMMYFUNCTION("""COMPUTED_VALUE"""),"БЗЛ-ВП-220 ""Аякс"" ПАШК.425243.001")</f>
        <v>БЗЛ-ВП-220 "Аякс" ПАШК.425243.001</v>
      </c>
      <c r="B902" s="6" t="str">
        <f ca="1">IFERROR(__xludf.DUMMYFUNCTION("""COMPUTED_VALUE"""),"Блок защиты линий видеосигнала и питания видеокамер. Предназначен для защиты аппаратуры по протяженным коаксиальным линиям связи, а также цепей питания аппаратуры напряжением ~220В переменного тока от импульсных перенапряжений и помех, вызванных электрома"&amp;"гнитнытными импульсами высоких энергий. IP 65")</f>
        <v>Блок защиты линий видеосигнала и питания видеокамер. Предназначен для защиты аппаратуры по протяженным коаксиальным линиям связи, а также цепей питания аппаратуры напряжением ~220В переменного тока от импульсных перенапряжений и помех, вызванных электромагнитнытными импульсами высоких энергий. IP 65</v>
      </c>
      <c r="C902" s="9">
        <f ca="1">IFERROR(__xludf.DUMMYFUNCTION("""COMPUTED_VALUE"""),3907.013)</f>
        <v>3907.0129999999999</v>
      </c>
      <c r="D902" s="6"/>
      <c r="E902" s="8"/>
    </row>
    <row r="903" spans="1:5" ht="140.25">
      <c r="A903" s="5" t="str">
        <f ca="1">IFERROR(__xludf.DUMMYFUNCTION("""COMPUTED_VALUE"""),"БЗЛ-ВП ""Аякс"" (12/24В) ПАШК.425243.001")</f>
        <v>БЗЛ-ВП "Аякс" (12/24В) ПАШК.425243.001</v>
      </c>
      <c r="B903" s="6" t="str">
        <f ca="1">IFERROR(__xludf.DUMMYFUNCTION("""COMPUTED_VALUE"""),"Блок защиты линий видеосигнала и питания видеокамер. Предназачен для защиты аппаратуры по протяженным
 симметричным линиям связи на основе витой пары и несимметричным линиям связи на основе коаксиального кабеля, а также цепей питания аппаратуры напряжение"&amp;"м 12/24В постоянного тока от импульсных перенапряжений и помех, вызванных электромагнитными импульсами высоких энергий. IP 65")</f>
        <v>Блок защиты линий видеосигнала и питания видеокамер. Предназачен для защиты аппаратуры по протяженным
 симметричным линиям связи на основе витой пары и несимметричным линиям связи на основе коаксиального кабеля, а также цепей питания аппаратуры напряжением 12/24В постоянного тока от импульсных перенапряжений и помех, вызванных электромагнитными импульсами высоких энергий. IP 65</v>
      </c>
      <c r="C903" s="9">
        <f ca="1">IFERROR(__xludf.DUMMYFUNCTION("""COMPUTED_VALUE"""),3907.013)</f>
        <v>3907.0129999999999</v>
      </c>
      <c r="D903" s="6"/>
      <c r="E903" s="8"/>
    </row>
    <row r="904" spans="1:5" ht="153">
      <c r="A904" s="5" t="str">
        <f ca="1">IFERROR(__xludf.DUMMYFUNCTION("""COMPUTED_VALUE"""),"БЗЛ-В-1 ""Аякс"" исп.01 ПАШК 425243.003")</f>
        <v>БЗЛ-В-1 "Аякс" исп.01 ПАШК 425243.003</v>
      </c>
      <c r="B904" s="6" t="str">
        <f ca="1">IFERROR(__xludf.DUMMYFUNCTION("""COMPUTED_VALUE"""),"Блок защиты линий видеосигнала видеокамер. Предназначен
 для защиты аппаратуры по протяженным коаксиальным
 линиям связи от импульсных перенапряжений и помех, вызванных электромагнитными импульсами высоких энергий. Пластмассовый корпус с разъѐмами BNC (пр"&amp;"и заказе необходимо указать тип разъема на входе ""Линия"" и на входе ""Аппаратура"" F/M, M/M, F/F, M/F). IP 20")</f>
        <v>Блок защиты линий видеосигнала видеокамер. Предназначен
 для защиты аппаратуры по протяженным коаксиальным
 линиям связи от импульсных перенапряжений и помех, вызванных электромагнитными импульсами высоких энергий. Пластмассовый корпус с разъѐмами BNC (при заказе необходимо указать тип разъема на входе "Линия" и на входе "Аппаратура" F/M, M/M, F/F, M/F). IP 20</v>
      </c>
      <c r="C904" s="9">
        <f ca="1">IFERROR(__xludf.DUMMYFUNCTION("""COMPUTED_VALUE"""),1270.731)</f>
        <v>1270.731</v>
      </c>
      <c r="D904" s="6"/>
      <c r="E904" s="8"/>
    </row>
    <row r="905" spans="1:5" ht="38.25">
      <c r="A905" s="5" t="str">
        <f ca="1">IFERROR(__xludf.DUMMYFUNCTION("""COMPUTED_VALUE"""),"БЗЛ-В-1 ""Аякс"" исп.02 ПАШК 425243.003")</f>
        <v>БЗЛ-В-1 "Аякс" исп.02 ПАШК 425243.003</v>
      </c>
      <c r="B905" s="6" t="str">
        <f ca="1">IFERROR(__xludf.DUMMYFUNCTION("""COMPUTED_VALUE"""),"Блок защиты линий видеосигнала видеокамер, в виде защищѐнной печатной платы. IP 20")</f>
        <v>Блок защиты линий видеосигнала видеокамер, в виде защищѐнной печатной платы. IP 20</v>
      </c>
      <c r="C905" s="9">
        <f ca="1">IFERROR(__xludf.DUMMYFUNCTION("""COMPUTED_VALUE"""),1270.731)</f>
        <v>1270.731</v>
      </c>
      <c r="D905" s="6"/>
      <c r="E905" s="8"/>
    </row>
    <row r="906" spans="1:5" ht="178.5">
      <c r="A906" s="5" t="str">
        <f ca="1">IFERROR(__xludf.DUMMYFUNCTION("""COMPUTED_VALUE"""),"БЗК-8 ""СЕВЕР"" АТФЕ.423141.001")</f>
        <v>БЗК-8 "СЕВЕР" АТФЕ.423141.001</v>
      </c>
      <c r="B906" s="6" t="str">
        <f ca="1">IFERROR(__xludf.DUMMYFUNCTION("""COMPUTED_VALUE"""),"Блок коммутационный защитный. Предназначен для распределения тока источника питания аппаратуры ОПС по 8 каналам и защиты каждого канала по току при помощи предохранителей. Каждый канал оснащен предохранителем и индикатором красного цвета, индицирующим пер"&amp;"егрузку канала по тоу и выходу предохранителя из строя. Зеленый индикатор ""Вход"" индицирует наличие напряжения на входе. БЗК-8 рассчитан на непрерывную круглосуточную работу. IP 65")</f>
        <v>Блок коммутационный защитный. Предназначен для распределения тока источника питания аппаратуры ОПС по 8 каналам и защиты каждого канала по току при помощи предохранителей. Каждый канал оснащен предохранителем и индикатором красного цвета, индицирующим перегрузку канала по тоу и выходу предохранителя из строя. Зеленый индикатор "Вход" индицирует наличие напряжения на входе. БЗК-8 рассчитан на непрерывную круглосуточную работу. IP 65</v>
      </c>
      <c r="C906" s="9">
        <f ca="1">IFERROR(__xludf.DUMMYFUNCTION("""COMPUTED_VALUE"""),1837.583)</f>
        <v>1837.5830000000001</v>
      </c>
      <c r="D906" s="6"/>
      <c r="E906" s="8"/>
    </row>
    <row r="907" spans="1:5" ht="140.25">
      <c r="A907" s="5" t="str">
        <f ca="1">IFERROR(__xludf.DUMMYFUNCTION("""COMPUTED_VALUE"""),"ИПН- 24/12 «АЯКС» АТФЕ.469445.001-01")</f>
        <v>ИПН- 24/12 «АЯКС» АТФЕ.469445.001-01</v>
      </c>
      <c r="B907" s="6" t="str">
        <f ca="1">IFERROR(__xludf.DUMMYFUNCTION("""COMPUTED_VALUE"""),"Предназначен для преобразования нестабилизированного входного напряжения постоянного тока, находящегося в пределах от 19 до 28 В, в выходное стабилизированное напряжение 12 В постоянного тока. Преобразователь рассчитан на круглосуточный режим работы при т"&amp;"емпературе окружающей среды от -30 °С до +40 °С и относительной влажности не более 90%")</f>
        <v>Предназначен для преобразования нестабилизированного входного напряжения постоянного тока, находящегося в пределах от 19 до 28 В, в выходное стабилизированное напряжение 12 В постоянного тока. Преобразователь рассчитан на круглосуточный режим работы при температуре окружающей среды от -30 °С до +40 °С и относительной влажности не более 90%</v>
      </c>
      <c r="C907" s="9">
        <f ca="1">IFERROR(__xludf.DUMMYFUNCTION("""COMPUTED_VALUE"""),539)</f>
        <v>539</v>
      </c>
      <c r="D907" s="6"/>
      <c r="E907" s="8"/>
    </row>
    <row r="908" spans="1:5" ht="140.25">
      <c r="A908" s="5" t="str">
        <f ca="1">IFERROR(__xludf.DUMMYFUNCTION("""COMPUTED_VALUE"""),"ИПН- 12/24 «АЯКС» АТФЕ.469445.001")</f>
        <v>ИПН- 12/24 «АЯКС» АТФЕ.469445.001</v>
      </c>
      <c r="B908" s="6" t="str">
        <f ca="1">IFERROR(__xludf.DUMMYFUNCTION("""COMPUTED_VALUE"""),"Предназначен для преобразования нестабилизированного входного напряжения постоянного тока, находящегося в пределах от 10 до 14 В, в выходное стабилизированное напряжение 24 В постоянного тока. Преобразователь рассчитан на круглосуточный режим работы при т"&amp;"емпературе окружающей среды от -30 °С до +40 °С и относительной влажности не более 90%.")</f>
        <v>Предназначен для преобразования нестабилизированного входного напряжения постоянного тока, находящегося в пределах от 10 до 14 В, в выходное стабилизированное напряжение 24 В постоянного тока. Преобразователь рассчитан на круглосуточный режим работы при температуре окружающей среды от -30 °С до +40 °С и относительной влажности не более 90%.</v>
      </c>
      <c r="C908" s="9">
        <f ca="1">IFERROR(__xludf.DUMMYFUNCTION("""COMPUTED_VALUE"""),539)</f>
        <v>539</v>
      </c>
      <c r="D908" s="6"/>
      <c r="E908" s="8"/>
    </row>
    <row r="909" spans="1:5" ht="12.75">
      <c r="A909" s="5" t="str">
        <f ca="1">IFERROR(__xludf.DUMMYFUNCTION("""COMPUTED_VALUE"""),"ИПН- 24/12 «АЯКС» БЕЗ корпуса")</f>
        <v>ИПН- 24/12 «АЯКС» БЕЗ корпуса</v>
      </c>
      <c r="B909" s="6"/>
      <c r="C909" s="9">
        <f ca="1">IFERROR(__xludf.DUMMYFUNCTION("""COMPUTED_VALUE"""),429)</f>
        <v>429</v>
      </c>
      <c r="D909" s="6"/>
      <c r="E909" s="8"/>
    </row>
    <row r="910" spans="1:5" ht="12.75">
      <c r="A910" s="5" t="str">
        <f ca="1">IFERROR(__xludf.DUMMYFUNCTION("""COMPUTED_VALUE"""),"ИПН- 12/24 «АЯКС» БЕЗ корпуса")</f>
        <v>ИПН- 12/24 «АЯКС» БЕЗ корпуса</v>
      </c>
      <c r="B910" s="6"/>
      <c r="C910" s="9">
        <f ca="1">IFERROR(__xludf.DUMMYFUNCTION("""COMPUTED_VALUE"""),429)</f>
        <v>429</v>
      </c>
      <c r="D910" s="6"/>
      <c r="E910" s="8"/>
    </row>
    <row r="911" spans="1:5" ht="89.25">
      <c r="A911" s="5" t="str">
        <f ca="1">IFERROR(__xludf.DUMMYFUNCTION("""COMPUTED_VALUE"""),"Кронштейн К-СМК-1")</f>
        <v>Кронштейн К-СМК-1</v>
      </c>
      <c r="B911" s="6" t="str">
        <f ca="1">IFERROR(__xludf.DUMMYFUNCTION("""COMPUTED_VALUE"""),"Предназначенных для изменения положения при монтаже блока магнита или блока датчика магнитоконтактных извещателей к поверхностям охраняемых конструкций (для извещателей ИО 102-52, ИО 102-2 и сигнализатора СМК-1)")</f>
        <v>Предназначенных для изменения положения при монтаже блока магнита или блока датчика магнитоконтактных извещателей к поверхностям охраняемых конструкций (для извещателей ИО 102-52, ИО 102-2 и сигнализатора СМК-1)</v>
      </c>
      <c r="C911" s="9">
        <f ca="1">IFERROR(__xludf.DUMMYFUNCTION("""COMPUTED_VALUE"""),209)</f>
        <v>209</v>
      </c>
      <c r="D911" s="6"/>
      <c r="E911" s="8"/>
    </row>
    <row r="912" spans="1:5" ht="63.75">
      <c r="A912" s="5" t="str">
        <f ca="1">IFERROR(__xludf.DUMMYFUNCTION("""COMPUTED_VALUE"""),"КР-СМК-1 Нержавейка")</f>
        <v>КР-СМК-1 Нержавейка</v>
      </c>
      <c r="B912"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912" s="9">
        <f ca="1">IFERROR(__xludf.DUMMYFUNCTION("""COMPUTED_VALUE"""),360)</f>
        <v>360</v>
      </c>
      <c r="D912" s="6"/>
      <c r="E912" s="8"/>
    </row>
    <row r="913" spans="1:5" ht="38.25">
      <c r="A913" s="5" t="str">
        <f ca="1">IFERROR(__xludf.DUMMYFUNCTION("""COMPUTED_VALUE"""),"ИО 102-54 (корпус ABS пластик БЕЛЫЙ) (ИО 102-14)")</f>
        <v>ИО 102-54 (корпус ABS пластик БЕЛЫЙ) (ИО 102-14)</v>
      </c>
      <c r="B913" s="6" t="str">
        <f ca="1">IFERROR(__xludf.DUMMYFUNCTION("""COMPUTED_VALUE"""),"Замкнут при расст. 15мм и менее, разомкнут пр расст. 45мм и более, вывод 0,2м, IP44. 35х10х10")</f>
        <v>Замкнут при расст. 15мм и менее, разомкнут пр расст. 45мм и более, вывод 0,2м, IP44. 35х10х10</v>
      </c>
      <c r="C913" s="9">
        <f ca="1">IFERROR(__xludf.DUMMYFUNCTION("""COMPUTED_VALUE"""),104)</f>
        <v>104</v>
      </c>
      <c r="D913" s="6"/>
      <c r="E913" s="8"/>
    </row>
    <row r="914" spans="1:5" ht="38.25">
      <c r="A914" s="5" t="str">
        <f ca="1">IFERROR(__xludf.DUMMYFUNCTION("""COMPUTED_VALUE"""),"ИО 102-54 (корпус ABS пластик) КОРИЧНЕВЫЙ (ИО 102-14)")</f>
        <v>ИО 102-54 (корпус ABS пластик) КОРИЧНЕВЫЙ (ИО 102-14)</v>
      </c>
      <c r="B914" s="6" t="str">
        <f ca="1">IFERROR(__xludf.DUMMYFUNCTION("""COMPUTED_VALUE"""),"Замкнут при расст. 15мм и менее, разомкнут пр расст. 45мм и более, вывод 0,2м, IP44.35х10х10")</f>
        <v>Замкнут при расст. 15мм и менее, разомкнут пр расст. 45мм и более, вывод 0,2м, IP44.35х10х10</v>
      </c>
      <c r="C914" s="9">
        <f ca="1">IFERROR(__xludf.DUMMYFUNCTION("""COMPUTED_VALUE"""),108)</f>
        <v>108</v>
      </c>
      <c r="D914" s="6"/>
      <c r="E914" s="8"/>
    </row>
    <row r="915" spans="1:5" ht="38.25">
      <c r="A915" s="5" t="str">
        <f ca="1">IFERROR(__xludf.DUMMYFUNCTION("""COMPUTED_VALUE"""),"ИО 102-52 (корпус ABS пластик БЕЛЫЙ) (СМК-1)")</f>
        <v>ИО 102-52 (корпус ABS пластик БЕЛЫЙ) (СМК-1)</v>
      </c>
      <c r="B915" s="6" t="str">
        <f ca="1">IFERROR(__xludf.DUMMYFUNCTION("""COMPUTED_VALUE"""),"Замкнут при расст. 10 мм и менее, разомкнут при расст. 20 мм и более, вывод 0,17м. 57х11х11")</f>
        <v>Замкнут при расст. 10 мм и менее, разомкнут при расст. 20 мм и более, вывод 0,17м. 57х11х11</v>
      </c>
      <c r="C915" s="9">
        <f ca="1">IFERROR(__xludf.DUMMYFUNCTION("""COMPUTED_VALUE"""),104.8)</f>
        <v>104.8</v>
      </c>
      <c r="D915" s="6"/>
      <c r="E915" s="8"/>
    </row>
    <row r="916" spans="1:5" ht="38.25">
      <c r="A916" s="5" t="str">
        <f ca="1">IFERROR(__xludf.DUMMYFUNCTION("""COMPUTED_VALUE"""),"ИО 102-52 (корпус ABS пластик) КОРИЧНЕВЫЙ (аналог СМК-1)")</f>
        <v>ИО 102-52 (корпус ABS пластик) КОРИЧНЕВЫЙ (аналог СМК-1)</v>
      </c>
      <c r="B916" s="6" t="str">
        <f ca="1">IFERROR(__xludf.DUMMYFUNCTION("""COMPUTED_VALUE"""),"Замкнут при расст. 10 мм и менее, разомкнут при расст. 20 мм и более, вывод 0,17м. 57х11х11")</f>
        <v>Замкнут при расст. 10 мм и менее, разомкнут при расст. 20 мм и более, вывод 0,17м. 57х11х11</v>
      </c>
      <c r="C916" s="9">
        <f ca="1">IFERROR(__xludf.DUMMYFUNCTION("""COMPUTED_VALUE"""),110)</f>
        <v>110</v>
      </c>
      <c r="D916" s="6"/>
      <c r="E916" s="8"/>
    </row>
    <row r="917" spans="1:5" ht="38.25">
      <c r="A917" s="5" t="str">
        <f ca="1">IFERROR(__xludf.DUMMYFUNCTION("""COMPUTED_VALUE"""),"СМК-1
 АТФЕ.425119.169")</f>
        <v>СМК-1
 АТФЕ.425119.169</v>
      </c>
      <c r="B917" s="6" t="str">
        <f ca="1">IFERROR(__xludf.DUMMYFUNCTION("""COMPUTED_VALUE"""),"Замкнут при расст. 20мм и менее, разомкнут пр расст. 45мм и более, вывод 0,17м. 57х11х11")</f>
        <v>Замкнут при расст. 20мм и менее, разомкнут пр расст. 45мм и более, вывод 0,17м. 57х11х11</v>
      </c>
      <c r="C917" s="9">
        <f ca="1">IFERROR(__xludf.DUMMYFUNCTION("""COMPUTED_VALUE"""),104.8)</f>
        <v>104.8</v>
      </c>
      <c r="D917" s="6"/>
      <c r="E917" s="8"/>
    </row>
    <row r="918" spans="1:5" ht="51">
      <c r="A918" s="5" t="str">
        <f ca="1">IFERROR(__xludf.DUMMYFUNCTION("""COMPUTED_VALUE"""),"СМК-3
 АТФЕ.425119.169")</f>
        <v>СМК-3
 АТФЕ.425119.169</v>
      </c>
      <c r="B918" s="6" t="str">
        <f ca="1">IFERROR(__xludf.DUMMYFUNCTION("""COMPUTED_VALUE"""),"Врезной, НР, замкнуты при расстоянии 5мм и менее,
 разомкнуты при расстоянии 15мм и более, длина вывода 170 мм")</f>
        <v>Врезной, НР, замкнуты при расстоянии 5мм и менее,
 разомкнуты при расстоянии 15мм и более, длина вывода 170 мм</v>
      </c>
      <c r="C918" s="9">
        <f ca="1">IFERROR(__xludf.DUMMYFUNCTION("""COMPUTED_VALUE"""),140)</f>
        <v>140</v>
      </c>
      <c r="D918" s="6"/>
      <c r="E918" s="8"/>
    </row>
    <row r="919" spans="1:5" ht="38.25">
      <c r="A919" s="5" t="str">
        <f ca="1">IFERROR(__xludf.DUMMYFUNCTION("""COMPUTED_VALUE"""),"СМК-14
 АТФЕ.425119.169")</f>
        <v>СМК-14
 АТФЕ.425119.169</v>
      </c>
      <c r="B919" s="6" t="str">
        <f ca="1">IFERROR(__xludf.DUMMYFUNCTION("""COMPUTED_VALUE"""),"Замкнут при расст. 15мм и менее, разомкнут пр расст. 45мм и более, вывод 0,2м, IP44. 35х10х10")</f>
        <v>Замкнут при расст. 15мм и менее, разомкнут пр расст. 45мм и более, вывод 0,2м, IP44. 35х10х10</v>
      </c>
      <c r="C919" s="9">
        <f ca="1">IFERROR(__xludf.DUMMYFUNCTION("""COMPUTED_VALUE"""),96)</f>
        <v>96</v>
      </c>
      <c r="D919" s="6"/>
      <c r="E919" s="8"/>
    </row>
    <row r="920" spans="1:5" ht="25.5">
      <c r="A920" s="5" t="str">
        <f ca="1">IFERROR(__xludf.DUMMYFUNCTION("""COMPUTED_VALUE"""),"СМК-4 НР 
АТФЕ.425119.169")</f>
        <v>СМК-4 НР 
АТФЕ.425119.169</v>
      </c>
      <c r="B920" s="6" t="str">
        <f ca="1">IFERROR(__xludf.DUMMYFUNCTION("""COMPUTED_VALUE"""),"Нормально-разомкнутый, вывод 0,355м, IP68")</f>
        <v>Нормально-разомкнутый, вывод 0,355м, IP68</v>
      </c>
      <c r="C920" s="9">
        <f ca="1">IFERROR(__xludf.DUMMYFUNCTION("""COMPUTED_VALUE"""),159.39)</f>
        <v>159.38999999999999</v>
      </c>
      <c r="D920" s="6"/>
      <c r="E920" s="8"/>
    </row>
    <row r="921" spans="1:5" ht="25.5">
      <c r="A921" s="5" t="str">
        <f ca="1">IFERROR(__xludf.DUMMYFUNCTION("""COMPUTED_VALUE"""),"СМК-4 НЗ 
АТФЕ.425119.169")</f>
        <v>СМК-4 НЗ 
АТФЕ.425119.169</v>
      </c>
      <c r="B921" s="6" t="str">
        <f ca="1">IFERROR(__xludf.DUMMYFUNCTION("""COMPUTED_VALUE"""),"Нормально-замкнутый, вывод 0,355м, IP68")</f>
        <v>Нормально-замкнутый, вывод 0,355м, IP68</v>
      </c>
      <c r="C921" s="9">
        <f ca="1">IFERROR(__xludf.DUMMYFUNCTION("""COMPUTED_VALUE"""),600.6)</f>
        <v>600.6</v>
      </c>
      <c r="D921" s="6"/>
      <c r="E921" s="8"/>
    </row>
    <row r="922" spans="1:5" ht="25.5">
      <c r="A922" s="5" t="str">
        <f ca="1">IFERROR(__xludf.DUMMYFUNCTION("""COMPUTED_VALUE"""),"СМК-4 П 
АТФЕ.425119.169")</f>
        <v>СМК-4 П 
АТФЕ.425119.169</v>
      </c>
      <c r="B922" s="6" t="str">
        <f ca="1">IFERROR(__xludf.DUMMYFUNCTION("""COMPUTED_VALUE"""),"Переключающий, вывод 0,355м, IP68")</f>
        <v>Переключающий, вывод 0,355м, IP68</v>
      </c>
      <c r="C922" s="9">
        <f ca="1">IFERROR(__xludf.DUMMYFUNCTION("""COMPUTED_VALUE"""),600.6)</f>
        <v>600.6</v>
      </c>
      <c r="D922" s="6"/>
      <c r="E922" s="8"/>
    </row>
    <row r="923" spans="1:5" ht="25.5">
      <c r="A923" s="5" t="str">
        <f ca="1">IFERROR(__xludf.DUMMYFUNCTION("""COMPUTED_VALUE"""),"СМК-4 ""На металл"" НР
АТФЕ.425119.169")</f>
        <v>СМК-4 "На металл" НР
АТФЕ.425119.169</v>
      </c>
      <c r="B923" s="6" t="str">
        <f ca="1">IFERROR(__xludf.DUMMYFUNCTION("""COMPUTED_VALUE"""),"Нормально-разомкнутый, вывод 0,25м, IP66/IP68")</f>
        <v>Нормально-разомкнутый, вывод 0,25м, IP66/IP68</v>
      </c>
      <c r="C923" s="9">
        <f ca="1">IFERROR(__xludf.DUMMYFUNCTION("""COMPUTED_VALUE"""),591.36)</f>
        <v>591.36</v>
      </c>
      <c r="D923" s="6"/>
      <c r="E923" s="8"/>
    </row>
    <row r="924" spans="1:5" ht="25.5">
      <c r="A924" s="5" t="str">
        <f ca="1">IFERROR(__xludf.DUMMYFUNCTION("""COMPUTED_VALUE"""),"СМК-4 ""На металл"" НЗ
АТФЕ.425119.169")</f>
        <v>СМК-4 "На металл" НЗ
АТФЕ.425119.169</v>
      </c>
      <c r="B924" s="6" t="str">
        <f ca="1">IFERROR(__xludf.DUMMYFUNCTION("""COMPUTED_VALUE"""),"Нормально-замкнутый, вывод 0,25м, IP66/IP68")</f>
        <v>Нормально-замкнутый, вывод 0,25м, IP66/IP68</v>
      </c>
      <c r="C924" s="9">
        <f ca="1">IFERROR(__xludf.DUMMYFUNCTION("""COMPUTED_VALUE"""),753.522)</f>
        <v>753.52200000000005</v>
      </c>
      <c r="D924" s="6"/>
      <c r="E924" s="8"/>
    </row>
    <row r="925" spans="1:5" ht="25.5">
      <c r="A925" s="5" t="str">
        <f ca="1">IFERROR(__xludf.DUMMYFUNCTION("""COMPUTED_VALUE"""),"СМК-4 ""На металл"" П
АТФЕ.425119.169")</f>
        <v>СМК-4 "На металл" П
АТФЕ.425119.169</v>
      </c>
      <c r="B925" s="6" t="str">
        <f ca="1">IFERROR(__xludf.DUMMYFUNCTION("""COMPUTED_VALUE"""),"Переключающий, вывод 0,25м, IP66/IP68")</f>
        <v>Переключающий, вывод 0,25м, IP66/IP68</v>
      </c>
      <c r="C925" s="9">
        <f ca="1">IFERROR(__xludf.DUMMYFUNCTION("""COMPUTED_VALUE"""),772.464)</f>
        <v>772.46400000000006</v>
      </c>
      <c r="D925" s="6"/>
      <c r="E925" s="8"/>
    </row>
    <row r="926" spans="1:5" ht="76.5">
      <c r="A926" s="5" t="str">
        <f ca="1">IFERROR(__xludf.DUMMYFUNCTION("""COMPUTED_VALUE"""),"СМК-11")</f>
        <v>СМК-11</v>
      </c>
      <c r="B926" s="6" t="str">
        <f ca="1">IFERROR(__xludf.DUMMYFUNCTION("""COMPUTED_VALUE"""),"Нормально разомкнутый (NO)
Расстояние срабатывания/отпускания на немагнитопроводящем основании, мм - 10/13
Расстояние срабатывания/отпускания на магнитопроводящем основании, мм - 5/7")</f>
        <v>Нормально разомкнутый (NO)
Расстояние срабатывания/отпускания на немагнитопроводящем основании, мм - 10/13
Расстояние срабатывания/отпускания на магнитопроводящем основании, мм - 5/7</v>
      </c>
      <c r="C926" s="9">
        <f ca="1">IFERROR(__xludf.DUMMYFUNCTION("""COMPUTED_VALUE"""),68.2)</f>
        <v>68.2</v>
      </c>
      <c r="D926" s="6"/>
      <c r="E926" s="8"/>
    </row>
    <row r="927" spans="1:5" ht="76.5">
      <c r="A927" s="5" t="str">
        <f ca="1">IFERROR(__xludf.DUMMYFUNCTION("""COMPUTED_VALUE"""),"СМК-11 усиленный")</f>
        <v>СМК-11 усиленный</v>
      </c>
      <c r="B927" s="6" t="str">
        <f ca="1">IFERROR(__xludf.DUMMYFUNCTION("""COMPUTED_VALUE"""),"Нормально разомкнутый (NO)
Расстояние срабатывания/отпускания на немагнитопроводящем основании, мм - 14/17 
Расстояние срабатывания/отпускания на магнитопроводящем основании, мм - 6/8")</f>
        <v>Нормально разомкнутый (NO)
Расстояние срабатывания/отпускания на немагнитопроводящем основании, мм - 14/17 
Расстояние срабатывания/отпускания на магнитопроводящем основании, мм - 6/8</v>
      </c>
      <c r="C927" s="9">
        <f ca="1">IFERROR(__xludf.DUMMYFUNCTION("""COMPUTED_VALUE"""),145.2)</f>
        <v>145.19999999999999</v>
      </c>
      <c r="D927" s="6"/>
      <c r="E927" s="8"/>
    </row>
    <row r="928" spans="1:5" ht="76.5">
      <c r="A928" s="5" t="str">
        <f ca="1">IFERROR(__xludf.DUMMYFUNCTION("""COMPUTED_VALUE"""),"СМК-11 исп.1")</f>
        <v>СМК-11 исп.1</v>
      </c>
      <c r="B928" s="6" t="str">
        <f ca="1">IFERROR(__xludf.DUMMYFUNCTION("""COMPUTED_VALUE"""),"Нормально замкнутый (NС)
Расстояние срабатывания/отпускания на немагнитопроводящем основании, мм - 8/10 
Расстояние срабатывания/отпускания на магнитопроводящем основании, мм - 4/5")</f>
        <v>Нормально замкнутый (NС)
Расстояние срабатывания/отпускания на немагнитопроводящем основании, мм - 8/10 
Расстояние срабатывания/отпускания на магнитопроводящем основании, мм - 4/5</v>
      </c>
      <c r="C928" s="9">
        <f ca="1">IFERROR(__xludf.DUMMYFUNCTION("""COMPUTED_VALUE"""),563.2)</f>
        <v>563.20000000000005</v>
      </c>
      <c r="D928" s="6"/>
      <c r="E928" s="8"/>
    </row>
    <row r="929" spans="1:5" ht="76.5">
      <c r="A929" s="5" t="str">
        <f ca="1">IFERROR(__xludf.DUMMYFUNCTION("""COMPUTED_VALUE"""),"СМК-11 исп.1 усиленный")</f>
        <v>СМК-11 исп.1 усиленный</v>
      </c>
      <c r="B929" s="6" t="str">
        <f ca="1">IFERROR(__xludf.DUMMYFUNCTION("""COMPUTED_VALUE"""),"Нормально замкнутый (NС)
Расстояние срабатывания/отпускания на немагнитопроводящем основании, мм - 12/15 
Расстояние срабатывания/отпускания на магнитопроводящем основании, мм - 5/6")</f>
        <v>Нормально замкнутый (NС)
Расстояние срабатывания/отпускания на немагнитопроводящем основании, мм - 12/15 
Расстояние срабатывания/отпускания на магнитопроводящем основании, мм - 5/6</v>
      </c>
      <c r="C929" s="9">
        <f ca="1">IFERROR(__xludf.DUMMYFUNCTION("""COMPUTED_VALUE"""),640.2)</f>
        <v>640.20000000000005</v>
      </c>
      <c r="D929" s="6"/>
      <c r="E929" s="8"/>
    </row>
    <row r="930" spans="1:5" ht="76.5">
      <c r="A930" s="5" t="str">
        <f ca="1">IFERROR(__xludf.DUMMYFUNCTION("""COMPUTED_VALUE"""),"СМК-11 исп.2")</f>
        <v>СМК-11 исп.2</v>
      </c>
      <c r="B930" s="6" t="str">
        <f ca="1">IFERROR(__xludf.DUMMYFUNCTION("""COMPUTED_VALUE"""),"Переключающий(NO/NС)
Расстояние срабатывания/отпускания на немагнитопроводящем основании, мм - 10/13 
Расстояние срабатывания/отпускания на магнитопроводящем основании, мм - 5/7")</f>
        <v>Переключающий(NO/NС)
Расстояние срабатывания/отпускания на немагнитопроводящем основании, мм - 10/13 
Расстояние срабатывания/отпускания на магнитопроводящем основании, мм - 5/7</v>
      </c>
      <c r="C930" s="9">
        <f ca="1">IFERROR(__xludf.DUMMYFUNCTION("""COMPUTED_VALUE"""),563.2)</f>
        <v>563.20000000000005</v>
      </c>
      <c r="D930" s="6"/>
      <c r="E930" s="8"/>
    </row>
    <row r="931" spans="1:5" ht="76.5">
      <c r="A931" s="5" t="str">
        <f ca="1">IFERROR(__xludf.DUMMYFUNCTION("""COMPUTED_VALUE"""),"СМК-11 исп.2 усиленный")</f>
        <v>СМК-11 исп.2 усиленный</v>
      </c>
      <c r="B931" s="6" t="str">
        <f ca="1">IFERROR(__xludf.DUMMYFUNCTION("""COMPUTED_VALUE"""),"Переключающий(NO/NС)
Расстояние срабатывания/отпускания на немагнитопроводящем основании, мм - 14/17
Расстояние срабатывания/отпускания на магнитопроводящем основании, мм - 6/8")</f>
        <v>Переключающий(NO/NС)
Расстояние срабатывания/отпускания на немагнитопроводящем основании, мм - 14/17
Расстояние срабатывания/отпускания на магнитопроводящем основании, мм - 6/8</v>
      </c>
      <c r="C931" s="9">
        <f ca="1">IFERROR(__xludf.DUMMYFUNCTION("""COMPUTED_VALUE"""),640.2)</f>
        <v>640.20000000000005</v>
      </c>
      <c r="D931" s="6"/>
      <c r="E931" s="8"/>
    </row>
    <row r="932" spans="1:5" ht="25.5">
      <c r="A932" s="5" t="str">
        <f ca="1">IFERROR(__xludf.DUMMYFUNCTION("""COMPUTED_VALUE"""),"СМК-20 Б2П(2)
 АТФЕ.425119.169")</f>
        <v>СМК-20 Б2П(2)
 АТФЕ.425119.169</v>
      </c>
      <c r="B932" s="6" t="str">
        <f ca="1">IFERROR(__xludf.DUMMYFUNCTION("""COMPUTED_VALUE"""),"НР, пластик , IP44, вывод 0,6м в пластиковом защитном рукаве")</f>
        <v>НР, пластик , IP44, вывод 0,6м в пластиковом защитном рукаве</v>
      </c>
      <c r="C932" s="9">
        <f ca="1">IFERROR(__xludf.DUMMYFUNCTION("""COMPUTED_VALUE"""),211.3965)</f>
        <v>211.3965</v>
      </c>
      <c r="D932" s="6"/>
      <c r="E932" s="8"/>
    </row>
    <row r="933" spans="1:5" ht="25.5">
      <c r="A933" s="5" t="str">
        <f ca="1">IFERROR(__xludf.DUMMYFUNCTION("""COMPUTED_VALUE"""),"СМК-20 А2П(2)
 АТФЕ.425119.169")</f>
        <v>СМК-20 А2П(2)
 АТФЕ.425119.169</v>
      </c>
      <c r="B933" s="6" t="str">
        <f ca="1">IFERROR(__xludf.DUMMYFUNCTION("""COMPUTED_VALUE"""),"НР, пластик , IP44, вывод 0,6м в пластиковом защитном рукаве")</f>
        <v>НР, пластик , IP44, вывод 0,6м в пластиковом защитном рукаве</v>
      </c>
      <c r="C933" s="9">
        <f ca="1">IFERROR(__xludf.DUMMYFUNCTION("""COMPUTED_VALUE"""),211.3965)</f>
        <v>211.3965</v>
      </c>
      <c r="D933" s="6"/>
      <c r="E933" s="8"/>
    </row>
    <row r="934" spans="1:5" ht="12.75">
      <c r="A934" s="5" t="str">
        <f ca="1">IFERROR(__xludf.DUMMYFUNCTION("""COMPUTED_VALUE"""),"ИО 102-2 ПГС2.409.000")</f>
        <v>ИО 102-2 ПГС2.409.000</v>
      </c>
      <c r="B934" s="6" t="str">
        <f ca="1">IFERROR(__xludf.DUMMYFUNCTION("""COMPUTED_VALUE"""),"НР, вывод 0,17м. 58х11х11")</f>
        <v>НР, вывод 0,17м. 58х11х11</v>
      </c>
      <c r="C934" s="9">
        <f ca="1">IFERROR(__xludf.DUMMYFUNCTION("""COMPUTED_VALUE"""),107)</f>
        <v>107</v>
      </c>
      <c r="D934" s="6"/>
      <c r="E934" s="8"/>
    </row>
    <row r="935" spans="1:5" ht="12.75">
      <c r="A935" s="5" t="str">
        <f ca="1">IFERROR(__xludf.DUMMYFUNCTION("""COMPUTED_VALUE"""),"ИО 102-4 ПГС2.409.001")</f>
        <v>ИО 102-4 ПГС2.409.001</v>
      </c>
      <c r="B935" s="6" t="str">
        <f ca="1">IFERROR(__xludf.DUMMYFUNCTION("""COMPUTED_VALUE"""),"НР, 30х13х6,5")</f>
        <v>НР, 30х13х6,5</v>
      </c>
      <c r="C935" s="9">
        <f ca="1">IFERROR(__xludf.DUMMYFUNCTION("""COMPUTED_VALUE"""),157)</f>
        <v>157</v>
      </c>
      <c r="D935" s="6"/>
      <c r="E935" s="8"/>
    </row>
    <row r="936" spans="1:5" ht="12.75">
      <c r="A936" s="5" t="str">
        <f ca="1">IFERROR(__xludf.DUMMYFUNCTION("""COMPUTED_VALUE"""),"ИО 102-5 ПГС2.409.002")</f>
        <v>ИО 102-5 ПГС2.409.002</v>
      </c>
      <c r="B936" s="6" t="str">
        <f ca="1">IFERROR(__xludf.DUMMYFUNCTION("""COMPUTED_VALUE"""),"Врезной, НР.")</f>
        <v>Врезной, НР.</v>
      </c>
      <c r="C936" s="9">
        <f ca="1">IFERROR(__xludf.DUMMYFUNCTION("""COMPUTED_VALUE"""),165)</f>
        <v>165</v>
      </c>
      <c r="D936" s="6"/>
      <c r="E936" s="8"/>
    </row>
    <row r="937" spans="1:5" ht="12.75">
      <c r="A937" s="5" t="str">
        <f ca="1">IFERROR(__xludf.DUMMYFUNCTION("""COMPUTED_VALUE"""),"ИО 102-15/1 СМК3 ПГС2.409.002")</f>
        <v>ИО 102-15/1 СМК3 ПГС2.409.002</v>
      </c>
      <c r="B937" s="6" t="str">
        <f ca="1">IFERROR(__xludf.DUMMYFUNCTION("""COMPUTED_VALUE"""),"Врезной, НР. Вывод 170мм")</f>
        <v>Врезной, НР. Вывод 170мм</v>
      </c>
      <c r="C937" s="9">
        <f ca="1">IFERROR(__xludf.DUMMYFUNCTION("""COMPUTED_VALUE"""),159)</f>
        <v>159</v>
      </c>
      <c r="D937" s="6"/>
      <c r="E937" s="8"/>
    </row>
    <row r="938" spans="1:5" ht="12.75">
      <c r="A938" s="5" t="str">
        <f ca="1">IFERROR(__xludf.DUMMYFUNCTION("""COMPUTED_VALUE"""),"ИО 102-15/2 ЯВАФ.425128.008")</f>
        <v>ИО 102-15/2 ЯВАФ.425128.008</v>
      </c>
      <c r="B938" s="6" t="str">
        <f ca="1">IFERROR(__xludf.DUMMYFUNCTION("""COMPUTED_VALUE"""),"Врезной, укороч.магнит. НР")</f>
        <v>Врезной, укороч.магнит. НР</v>
      </c>
      <c r="C938" s="9">
        <f ca="1">IFERROR(__xludf.DUMMYFUNCTION("""COMPUTED_VALUE"""),144)</f>
        <v>144</v>
      </c>
      <c r="D938" s="6"/>
      <c r="E938" s="8"/>
    </row>
    <row r="939" spans="1:5" ht="38.25">
      <c r="A939" s="5" t="str">
        <f ca="1">IFERROR(__xludf.DUMMYFUNCTION("""COMPUTED_VALUE"""),"ИО 102-16/1 ЯВАФ.425128.006")</f>
        <v>ИО 102-16/1 ЯВАФ.425128.006</v>
      </c>
      <c r="B939" s="6" t="str">
        <f ca="1">IFERROR(__xludf.DUMMYFUNCTION("""COMPUTED_VALUE"""),"Замкнут при расст. 8мм и менее, разомкнут пр расст. 45мм и более, 28х8х7")</f>
        <v>Замкнут при расст. 8мм и менее, разомкнут пр расст. 45мм и более, 28х8х7</v>
      </c>
      <c r="C939" s="9">
        <f ca="1">IFERROR(__xludf.DUMMYFUNCTION("""COMPUTED_VALUE"""),105)</f>
        <v>105</v>
      </c>
      <c r="D939" s="6"/>
      <c r="E939" s="8"/>
    </row>
    <row r="940" spans="1:5" ht="38.25">
      <c r="A940" s="5" t="str">
        <f ca="1">IFERROR(__xludf.DUMMYFUNCTION("""COMPUTED_VALUE"""),"ИО 102-16/2 ПГС2.409.000")</f>
        <v>ИО 102-16/2 ПГС2.409.000</v>
      </c>
      <c r="B940" s="6" t="str">
        <f ca="1">IFERROR(__xludf.DUMMYFUNCTION("""COMPUTED_VALUE"""),"Замкнут при расст. 10мм и менее, разомкнут пр расст. 45мм и более, 35х10х10")</f>
        <v>Замкнут при расст. 10мм и менее, разомкнут пр расст. 45мм и более, 35х10х10</v>
      </c>
      <c r="C940" s="9">
        <f ca="1">IFERROR(__xludf.DUMMYFUNCTION("""COMPUTED_VALUE"""),106)</f>
        <v>106</v>
      </c>
      <c r="D940" s="6"/>
      <c r="E940" s="8"/>
    </row>
    <row r="941" spans="1:5" ht="25.5">
      <c r="A941" s="5" t="str">
        <f ca="1">IFERROR(__xludf.DUMMYFUNCTION("""COMPUTED_VALUE"""),"ИО 102-21 (ВК-1)")</f>
        <v>ИО 102-21 (ВК-1)</v>
      </c>
      <c r="B941" s="6" t="str">
        <f ca="1">IFERROR(__xludf.DUMMYFUNCTION("""COMPUTED_VALUE"""),"Выключатель кнопочный, магнитоконтактный. Врезной 12мм")</f>
        <v>Выключатель кнопочный, магнитоконтактный. Врезной 12мм</v>
      </c>
      <c r="C941" s="9">
        <f ca="1">IFERROR(__xludf.DUMMYFUNCTION("""COMPUTED_VALUE"""),275)</f>
        <v>275</v>
      </c>
      <c r="D941" s="6"/>
      <c r="E941" s="8"/>
    </row>
    <row r="942" spans="1:5" ht="51">
      <c r="A942" s="5" t="str">
        <f ca="1">IFERROR(__xludf.DUMMYFUNCTION("""COMPUTED_VALUE"""),"ИО 102-47/1 ПАШК 425119.112ТУ (СМК-3) IP 55")</f>
        <v>ИО 102-47/1 ПАШК 425119.112ТУ (СМК-3) IP 55</v>
      </c>
      <c r="B942" s="6" t="str">
        <f ca="1">IFERROR(__xludf.DUMMYFUNCTION("""COMPUTED_VALUE"""),"Врезной, НР, замкнуты при расстоянии 5мм и менее,
 разомкнуты при расстоянии 15мм и более, длина вывода 170 мм")</f>
        <v>Врезной, НР, замкнуты при расстоянии 5мм и менее,
 разомкнуты при расстоянии 15мм и более, длина вывода 170 мм</v>
      </c>
      <c r="C942" s="9">
        <f ca="1">IFERROR(__xludf.DUMMYFUNCTION("""COMPUTED_VALUE"""),196.35)</f>
        <v>196.35</v>
      </c>
      <c r="D942" s="6"/>
      <c r="E942" s="8"/>
    </row>
    <row r="943" spans="1:5" ht="51">
      <c r="A943" s="5" t="str">
        <f ca="1">IFERROR(__xludf.DUMMYFUNCTION("""COMPUTED_VALUE"""),"ИО 102-47/2 ПАШК 425119.112ТУ (СМК-3) IP 55")</f>
        <v>ИО 102-47/2 ПАШК 425119.112ТУ (СМК-3) IP 55</v>
      </c>
      <c r="B943" s="6" t="str">
        <f ca="1">IFERROR(__xludf.DUMMYFUNCTION("""COMPUTED_VALUE"""),"Врезной, переключающий, замкнуты при расстоянии 4мм и менее, разомкнуты при расстоянии 8мм и более, длина вывода 170 мм")</f>
        <v>Врезной, переключающий, замкнуты при расстоянии 4мм и менее, разомкнуты при расстоянии 8мм и более, длина вывода 170 мм</v>
      </c>
      <c r="C943" s="9">
        <f ca="1">IFERROR(__xludf.DUMMYFUNCTION("""COMPUTED_VALUE"""),516.285)</f>
        <v>516.28499999999997</v>
      </c>
      <c r="D943" s="6"/>
      <c r="E943" s="8"/>
    </row>
    <row r="944" spans="1:5" ht="102">
      <c r="A944" s="5" t="str">
        <f ca="1">IFERROR(__xludf.DUMMYFUNCTION("""COMPUTED_VALUE"""),"ИО 102-47 ""Антисаботаж"" ПАШК 425119.108ТУ IP 55")</f>
        <v>ИО 102-47 "Антисаботаж" ПАШК 425119.108ТУ IP 55</v>
      </c>
      <c r="B944" s="6" t="str">
        <f ca="1">IFERROR(__xludf.DUMMYFUNCTION("""COMPUTED_VALUE"""),"Предназначен для скрытого монтажа и обнаружения изменения состояния охраняемого объекта при несанкционированных попытках вскрытия дверей, ворот, окон, сейфов. НЗ, длина вывода 200 мм. Применяется в качестве дополнительного датчика в магнитоконтактных охра"&amp;"нных системах.")</f>
        <v>Предназначен для скрытого монтажа и обнаружения изменения состояния охраняемого объекта при несанкционированных попытках вскрытия дверей, ворот, окон, сейфов. НЗ, длина вывода 200 мм. Применяется в качестве дополнительного датчика в магнитоконтактных охранных системах.</v>
      </c>
      <c r="C944" s="9">
        <f ca="1">IFERROR(__xludf.DUMMYFUNCTION("""COMPUTED_VALUE"""),590.1588)</f>
        <v>590.15880000000004</v>
      </c>
      <c r="D944" s="6"/>
      <c r="E944" s="8"/>
    </row>
    <row r="945" spans="1:5" ht="51">
      <c r="A945" s="5" t="str">
        <f ca="1">IFERROR(__xludf.DUMMYFUNCTION("""COMPUTED_VALUE"""),"ИО 102-48 исп.00 ПАШК.425119.109ПС IP 68")</f>
        <v>ИО 102-48 исп.00 ПАШК.425119.109ПС IP 68</v>
      </c>
      <c r="B945" s="6" t="str">
        <f ca="1">IFERROR(__xludf.DUMMYFUNCTION("""COMPUTED_VALUE"""),"НР, замыкаются при расстоянии 11мм и менее и размыкаются на расстоянии 16мм и более. 32х15х6,8, длина вывода датчика 355 мм.")</f>
        <v>НР, замыкаются при расстоянии 11мм и менее и размыкаются на расстоянии 16мм и более. 32х15х6,8, длина вывода датчика 355 мм.</v>
      </c>
      <c r="C945" s="9">
        <f ca="1">IFERROR(__xludf.DUMMYFUNCTION("""COMPUTED_VALUE"""),327.0267)</f>
        <v>327.02670000000001</v>
      </c>
      <c r="D945" s="6"/>
      <c r="E945" s="8"/>
    </row>
    <row r="946" spans="1:5" ht="51">
      <c r="A946" s="5" t="str">
        <f ca="1">IFERROR(__xludf.DUMMYFUNCTION("""COMPUTED_VALUE"""),"ИО 102-48 исп.01 ПАШК.425119.109ПС IP 68")</f>
        <v>ИО 102-48 исп.01 ПАШК.425119.109ПС IP 68</v>
      </c>
      <c r="B946" s="6" t="str">
        <f ca="1">IFERROR(__xludf.DUMMYFUNCTION("""COMPUTED_VALUE"""),"НЗ, размыкаются при расстоянии 8мм и менее и замыкаются на расстоянии 12мм и более. 32х15х6,8, длина вывода датчика 355 мм.")</f>
        <v>НЗ, размыкаются при расстоянии 8мм и менее и замыкаются на расстоянии 12мм и более. 32х15х6,8, длина вывода датчика 355 мм.</v>
      </c>
      <c r="C946" s="9">
        <f ca="1">IFERROR(__xludf.DUMMYFUNCTION("""COMPUTED_VALUE"""),531.6003)</f>
        <v>531.60029999999995</v>
      </c>
      <c r="D946" s="6"/>
      <c r="E946" s="8"/>
    </row>
    <row r="947" spans="1:5" ht="63.75">
      <c r="A947" s="5" t="str">
        <f ca="1">IFERROR(__xludf.DUMMYFUNCTION("""COMPUTED_VALUE"""),"ИО 102-48 исп.02 ПАШК.425119.109ПС IP 68")</f>
        <v>ИО 102-48 исп.02 ПАШК.425119.109ПС IP 68</v>
      </c>
      <c r="B947" s="6" t="str">
        <f ca="1">IFERROR(__xludf.DUMMYFUNCTION("""COMPUTED_VALUE"""),"Переключающий, переключаются при расстоянии8 мм и менее и переходят в исходное состояние на расстоянии 12 мм и более. 32х15х6,8, длина вывода датчика 355 мм.")</f>
        <v>Переключающий, переключаются при расстоянии8 мм и менее и переходят в исходное состояние на расстоянии 12 мм и более. 32х15х6,8, длина вывода датчика 355 мм.</v>
      </c>
      <c r="C947" s="9">
        <f ca="1">IFERROR(__xludf.DUMMYFUNCTION("""COMPUTED_VALUE"""),592.3533)</f>
        <v>592.35329999999999</v>
      </c>
      <c r="D947" s="6"/>
      <c r="E947" s="8"/>
    </row>
    <row r="948" spans="1:5" ht="25.5">
      <c r="A948" s="5" t="str">
        <f ca="1">IFERROR(__xludf.DUMMYFUNCTION("""COMPUTED_VALUE"""),"Д9-00-2000 АТФЕ425119.068")</f>
        <v>Д9-00-2000 АТФЕ425119.068</v>
      </c>
      <c r="B948" s="6" t="str">
        <f ca="1">IFERROR(__xludf.DUMMYFUNCTION("""COMPUTED_VALUE"""),"Магнитоуправляемый датчик для немагнитоактивных конструкций.")</f>
        <v>Магнитоуправляемый датчик для немагнитоактивных конструкций.</v>
      </c>
      <c r="C948" s="9">
        <f ca="1">IFERROR(__xludf.DUMMYFUNCTION("""COMPUTED_VALUE"""),388.9116)</f>
        <v>388.91160000000002</v>
      </c>
      <c r="D948" s="6"/>
      <c r="E948" s="8"/>
    </row>
    <row r="949" spans="1:5" ht="12.75">
      <c r="A949" s="5" t="str">
        <f ca="1">IFERROR(__xludf.DUMMYFUNCTION("""COMPUTED_VALUE"""),"ДГА-02 Датчик герконовый автотракторный")</f>
        <v>ДГА-02 Датчик герконовый автотракторный</v>
      </c>
      <c r="B949" s="6" t="str">
        <f ca="1">IFERROR(__xludf.DUMMYFUNCTION("""COMPUTED_VALUE"""),"Нормально разомкнутый. ")</f>
        <v xml:space="preserve">Нормально разомкнутый. </v>
      </c>
      <c r="C949" s="9">
        <f ca="1">IFERROR(__xludf.DUMMYFUNCTION("""COMPUTED_VALUE"""),612)</f>
        <v>612</v>
      </c>
      <c r="D949" s="6"/>
      <c r="E949" s="8"/>
    </row>
    <row r="950" spans="1:5" ht="12.75">
      <c r="A950" s="5" t="str">
        <f ca="1">IFERROR(__xludf.DUMMYFUNCTION("""COMPUTED_VALUE"""),"ДГА-03 датчик герконовый автотракторный")</f>
        <v>ДГА-03 датчик герконовый автотракторный</v>
      </c>
      <c r="B950" s="6" t="str">
        <f ca="1">IFERROR(__xludf.DUMMYFUNCTION("""COMPUTED_VALUE"""),"Нормально замкнутый")</f>
        <v>Нормально замкнутый</v>
      </c>
      <c r="C950" s="9">
        <f ca="1">IFERROR(__xludf.DUMMYFUNCTION("""COMPUTED_VALUE"""),980)</f>
        <v>980</v>
      </c>
      <c r="D950" s="6"/>
      <c r="E950" s="8"/>
    </row>
    <row r="951" spans="1:5" ht="25.5">
      <c r="A951" s="5" t="str">
        <f ca="1">IFERROR(__xludf.DUMMYFUNCTION("""COMPUTED_VALUE"""),"ИО 102-51 (НР) ПАШК.425119.125ТУ IP 66")</f>
        <v>ИО 102-51 (НР) ПАШК.425119.125ТУ IP 66</v>
      </c>
      <c r="B951" s="6" t="str">
        <f ca="1">IFERROR(__xludf.DUMMYFUNCTION("""COMPUTED_VALUE"""),"На металл, врезной, диаметр 12 мм, нормально-разомкнутый геркон")</f>
        <v>На металл, врезной, диаметр 12 мм, нормально-разомкнутый геркон</v>
      </c>
      <c r="C951" s="9">
        <f ca="1">IFERROR(__xludf.DUMMYFUNCTION("""COMPUTED_VALUE"""),199.815)</f>
        <v>199.815</v>
      </c>
      <c r="D951" s="6"/>
      <c r="E951" s="8"/>
    </row>
    <row r="952" spans="1:5" ht="25.5">
      <c r="A952" s="5" t="str">
        <f ca="1">IFERROR(__xludf.DUMMYFUNCTION("""COMPUTED_VALUE"""),"ИО 102-51 (НЗ) ПАШК.425119.125ТУ IP 66")</f>
        <v>ИО 102-51 (НЗ) ПАШК.425119.125ТУ IP 66</v>
      </c>
      <c r="B952" s="6" t="str">
        <f ca="1">IFERROR(__xludf.DUMMYFUNCTION("""COMPUTED_VALUE"""),"На металл, врезной, диаметр 12 мм, нормально-замкнутый геркон")</f>
        <v>На металл, врезной, диаметр 12 мм, нормально-замкнутый геркон</v>
      </c>
      <c r="C952" s="9">
        <f ca="1">IFERROR(__xludf.DUMMYFUNCTION("""COMPUTED_VALUE"""),539.616)</f>
        <v>539.61599999999999</v>
      </c>
      <c r="D952" s="6"/>
      <c r="E952" s="8"/>
    </row>
    <row r="953" spans="1:5" ht="25.5">
      <c r="A953" s="5" t="str">
        <f ca="1">IFERROR(__xludf.DUMMYFUNCTION("""COMPUTED_VALUE"""),"ИО 102-51 (П) ПАШК.425119.125ТУ IP 66")</f>
        <v>ИО 102-51 (П) ПАШК.425119.125ТУ IP 66</v>
      </c>
      <c r="B953" s="6" t="str">
        <f ca="1">IFERROR(__xludf.DUMMYFUNCTION("""COMPUTED_VALUE"""),"На металл, врезной, диаметр 12 мм, переключающий геркон")</f>
        <v>На металл, врезной, диаметр 12 мм, переключающий геркон</v>
      </c>
      <c r="C953" s="9">
        <f ca="1">IFERROR(__xludf.DUMMYFUNCTION("""COMPUTED_VALUE"""),586.971)</f>
        <v>586.971</v>
      </c>
      <c r="D953" s="6"/>
      <c r="E953" s="8"/>
    </row>
    <row r="954" spans="1:5" ht="12.75">
      <c r="A954" s="5" t="str">
        <f ca="1">IFERROR(__xludf.DUMMYFUNCTION("""COMPUTED_VALUE"""),"ИО 102-51 (НР+Пр) ПАШК.425119.125ТУ IP 66")</f>
        <v>ИО 102-51 (НР+Пр) ПАШК.425119.125ТУ IP 66</v>
      </c>
      <c r="B954" s="6" t="str">
        <f ca="1">IFERROR(__xludf.DUMMYFUNCTION("""COMPUTED_VALUE"""),"Нормально-разомкнутый ""Антисаботаж""")</f>
        <v>Нормально-разомкнутый "Антисаботаж"</v>
      </c>
      <c r="C954" s="9">
        <f ca="1">IFERROR(__xludf.DUMMYFUNCTION("""COMPUTED_VALUE"""),211.8165)</f>
        <v>211.81649999999999</v>
      </c>
      <c r="D954" s="6"/>
      <c r="E954" s="8"/>
    </row>
    <row r="955" spans="1:5" ht="25.5">
      <c r="A955" s="5" t="str">
        <f ca="1">IFERROR(__xludf.DUMMYFUNCTION("""COMPUTED_VALUE"""),"ИО 102-51 (НР) с магнитом в укороченном корпусе (11мм) ПАШК.425119.125ТУ IP 66")</f>
        <v>ИО 102-51 (НР) с магнитом в укороченном корпусе (11мм) ПАШК.425119.125ТУ IP 66</v>
      </c>
      <c r="B955" s="6" t="str">
        <f ca="1">IFERROR(__xludf.DUMMYFUNCTION("""COMPUTED_VALUE"""),"На металл, врезной, диаметр 12 мм, нормально-разомкнутый геркон")</f>
        <v>На металл, врезной, диаметр 12 мм, нормально-разомкнутый геркон</v>
      </c>
      <c r="C955" s="9">
        <f ca="1">IFERROR(__xludf.DUMMYFUNCTION("""COMPUTED_VALUE"""),384.11835)</f>
        <v>384.11835000000002</v>
      </c>
      <c r="D955" s="6"/>
      <c r="E955" s="8"/>
    </row>
    <row r="956" spans="1:5" ht="25.5">
      <c r="A956" s="5" t="str">
        <f ca="1">IFERROR(__xludf.DUMMYFUNCTION("""COMPUTED_VALUE"""),"ИО 102-51 (НЗ) с магнитом в укороченном корпусе (11мм) ПАШК.425119.125ТУ IP 66")</f>
        <v>ИО 102-51 (НЗ) с магнитом в укороченном корпусе (11мм) ПАШК.425119.125ТУ IP 66</v>
      </c>
      <c r="B956" s="6" t="str">
        <f ca="1">IFERROR(__xludf.DUMMYFUNCTION("""COMPUTED_VALUE"""),"На металл, врезной, диаметр 12 мм, нормально-замкнутый геркон")</f>
        <v>На металл, врезной, диаметр 12 мм, нормально-замкнутый геркон</v>
      </c>
      <c r="C956" s="9">
        <f ca="1">IFERROR(__xludf.DUMMYFUNCTION("""COMPUTED_VALUE"""),609.55125)</f>
        <v>609.55124999999998</v>
      </c>
      <c r="D956" s="6"/>
      <c r="E956" s="8"/>
    </row>
    <row r="957" spans="1:5" ht="25.5">
      <c r="A957" s="5" t="str">
        <f ca="1">IFERROR(__xludf.DUMMYFUNCTION("""COMPUTED_VALUE"""),"ИО 102-51 (П) с магнитом в укороченном корпусе (11мм) ПАШК.425119.125ТУ IP 66")</f>
        <v>ИО 102-51 (П) с магнитом в укороченном корпусе (11мм) ПАШК.425119.125ТУ IP 66</v>
      </c>
      <c r="B957" s="6" t="str">
        <f ca="1">IFERROR(__xludf.DUMMYFUNCTION("""COMPUTED_VALUE"""),"На металл, врезной, диаметр 12 мм, переключающий геркон")</f>
        <v>На металл, врезной, диаметр 12 мм, переключающий геркон</v>
      </c>
      <c r="C957" s="9">
        <f ca="1">IFERROR(__xludf.DUMMYFUNCTION("""COMPUTED_VALUE"""),616.539)</f>
        <v>616.53899999999999</v>
      </c>
      <c r="D957" s="6"/>
      <c r="E957" s="8"/>
    </row>
    <row r="958" spans="1:5" ht="25.5">
      <c r="A958" s="5" t="str">
        <f ca="1">IFERROR(__xludf.DUMMYFUNCTION("""COMPUTED_VALUE"""),"ИО 102-51 (НР+Пр) с магнитом в укороченном корпусе (11мм) ПАШК.425119.125ТУ IP 66")</f>
        <v>ИО 102-51 (НР+Пр) с магнитом в укороченном корпусе (11мм) ПАШК.425119.125ТУ IP 66</v>
      </c>
      <c r="B958" s="6" t="str">
        <f ca="1">IFERROR(__xludf.DUMMYFUNCTION("""COMPUTED_VALUE"""),"Нормально-разомкнутый ""Антисаботаж""")</f>
        <v>Нормально-разомкнутый "Антисаботаж"</v>
      </c>
      <c r="C958" s="9">
        <f ca="1">IFERROR(__xludf.DUMMYFUNCTION("""COMPUTED_VALUE"""),386.925)</f>
        <v>386.92500000000001</v>
      </c>
      <c r="D958" s="6"/>
      <c r="E958" s="8"/>
    </row>
    <row r="959" spans="1:5" ht="51">
      <c r="A959" s="5" t="str">
        <f ca="1">IFERROR(__xludf.DUMMYFUNCTION("""COMPUTED_VALUE"""),"СМК-6
 АТФЕ.425119.169")</f>
        <v>СМК-6
 АТФЕ.425119.169</v>
      </c>
      <c r="B959" s="6" t="str">
        <f ca="1">IFERROR(__xludf.DUMMYFUNCTION("""COMPUTED_VALUE"""),"Для металлическ.поверхн, врезной. Замкнут при расст. 7мм (или 10мм), разомкнут при расст. 45мм и более, вывод 170мм.")</f>
        <v>Для металлическ.поверхн, врезной. Замкнут при расст. 7мм (или 10мм), разомкнут при расст. 45мм и более, вывод 170мм.</v>
      </c>
      <c r="C959" s="9">
        <f ca="1">IFERROR(__xludf.DUMMYFUNCTION("""COMPUTED_VALUE"""),312.455)</f>
        <v>312.45499999999998</v>
      </c>
      <c r="D959" s="6"/>
      <c r="E959" s="8"/>
    </row>
    <row r="960" spans="1:5" ht="25.5">
      <c r="A960" s="5" t="str">
        <f ca="1">IFERROR(__xludf.DUMMYFUNCTION("""COMPUTED_VALUE"""),"ИО 102-6 ПГС2.409.007")</f>
        <v>ИО 102-6 ПГС2.409.007</v>
      </c>
      <c r="B960" s="6" t="str">
        <f ca="1">IFERROR(__xludf.DUMMYFUNCTION("""COMPUTED_VALUE"""),"Для металлическ.поверхн. c толщиной металла не более 0,5мм, врезной. НР")</f>
        <v>Для металлическ.поверхн. c толщиной металла не более 0,5мм, врезной. НР</v>
      </c>
      <c r="C960" s="9">
        <f ca="1">IFERROR(__xludf.DUMMYFUNCTION("""COMPUTED_VALUE"""),312.455)</f>
        <v>312.45499999999998</v>
      </c>
      <c r="D960" s="6"/>
      <c r="E960" s="8"/>
    </row>
    <row r="961" spans="1:5" ht="38.25">
      <c r="A961" s="5" t="str">
        <f ca="1">IFERROR(__xludf.DUMMYFUNCTION("""COMPUTED_VALUE"""),"ИО 102-6П ПАШК.425119.040")</f>
        <v>ИО 102-6П ПАШК.425119.040</v>
      </c>
      <c r="B961" s="6" t="str">
        <f ca="1">IFERROR(__xludf.DUMMYFUNCTION("""COMPUTED_VALUE"""),"Для металлическ.поверхн. c толщиной металла не более 0,5мм, врезной. Переключающий")</f>
        <v>Для металлическ.поверхн. c толщиной металла не более 0,5мм, врезной. Переключающий</v>
      </c>
      <c r="C961" s="9">
        <f ca="1">IFERROR(__xludf.DUMMYFUNCTION("""COMPUTED_VALUE"""),1164.053)</f>
        <v>1164.0530000000001</v>
      </c>
      <c r="D961" s="6"/>
      <c r="E961" s="8"/>
    </row>
    <row r="962" spans="1:5" ht="63.75">
      <c r="A962" s="5" t="str">
        <f ca="1">IFERROR(__xludf.DUMMYFUNCTION("""COMPUTED_VALUE"""),"ИО 102-6 FRHF")</f>
        <v>ИО 102-6 FRHF</v>
      </c>
      <c r="B962" s="6" t="str">
        <f ca="1">IFERROR(__xludf.DUMMYFUNCTION("""COMPUTED_VALUE"""),"Для металлическ.поверхн. c толщиной металла 
 не более 0,5мм, врезной. НР, вывод- огнестойкий безгалогенный FRHF провод 2х2х0,2 в двойной изоляции, 350мм")</f>
        <v>Для металлическ.поверхн. c толщиной металла 
 не более 0,5мм, врезной. НР, вывод- огнестойкий безгалогенный FRHF провод 2х2х0,2 в двойной изоляции, 350мм</v>
      </c>
      <c r="C962" s="9">
        <f ca="1">IFERROR(__xludf.DUMMYFUNCTION("""COMPUTED_VALUE"""),460)</f>
        <v>460</v>
      </c>
      <c r="D962" s="6"/>
      <c r="E962" s="8"/>
    </row>
    <row r="963" spans="1:5" ht="76.5">
      <c r="A963" s="5" t="str">
        <f ca="1">IFERROR(__xludf.DUMMYFUNCTION("""COMPUTED_VALUE"""),"ИО 102-6П АВТО")</f>
        <v>ИО 102-6П АВТО</v>
      </c>
      <c r="B963" s="6" t="str">
        <f ca="1">IFERROR(__xludf.DUMMYFUNCTION("""COMPUTED_VALUE"""),"Для металлическ.поверхн. c толщиной металла
 не более 0,5мм, врезной, НР, вывод - ударопрочный, масло-бензостойкий кабель 2х0,7 в двойной изоляции, 350мм.")</f>
        <v>Для металлическ.поверхн. c толщиной металла
 не более 0,5мм, врезной, НР, вывод - ударопрочный, масло-бензостойкий кабель 2х0,7 в двойной изоляции, 350мм.</v>
      </c>
      <c r="C963" s="9">
        <f ca="1">IFERROR(__xludf.DUMMYFUNCTION("""COMPUTED_VALUE"""),1164.05)</f>
        <v>1164.05</v>
      </c>
      <c r="D963" s="6"/>
      <c r="E963" s="8"/>
    </row>
    <row r="964" spans="1:5" ht="51">
      <c r="A964" s="5" t="str">
        <f ca="1">IFERROR(__xludf.DUMMYFUNCTION("""COMPUTED_VALUE"""),"ИО 102-39 исп.000 ПАШК.425119.052ТУ")</f>
        <v>ИО 102-39 исп.000 ПАШК.425119.052ТУ</v>
      </c>
      <c r="B964" s="6" t="str">
        <f ca="1">IFERROR(__xludf.DUMMYFUNCTION("""COMPUTED_VALUE"""),"НР, вывод 1000 мм, двойная изоляция, максимальная рабочая температура 120 град., врезка в металл толщиной 2 мм, IP 68")</f>
        <v>НР, вывод 1000 мм, двойная изоляция, максимальная рабочая температура 120 град., врезка в металл толщиной 2 мм, IP 68</v>
      </c>
      <c r="C964" s="9">
        <f ca="1">IFERROR(__xludf.DUMMYFUNCTION("""COMPUTED_VALUE"""),1090.03785)</f>
        <v>1090.0378499999999</v>
      </c>
      <c r="D964" s="6"/>
      <c r="E964" s="8"/>
    </row>
    <row r="965" spans="1:5" ht="76.5">
      <c r="A965" s="5" t="str">
        <f ca="1">IFERROR(__xludf.DUMMYFUNCTION("""COMPUTED_VALUE"""),"ИО 102-39 исп.00 (белый) ПАШК425119.052")</f>
        <v>ИО 102-39 исп.00 (белый) ПАШК425119.052</v>
      </c>
      <c r="B965" s="6" t="str">
        <f ca="1">IFERROR(__xludf.DUMMYFUNCTION("""COMPUTED_VALUE"""),"Извещатель охранный на метал.конструкции с толщиной металла более 0,5 мм, врезной. Расст.срабатывания на металле не менее 22 мм, на дереве и пластике 35мм,длина вывода 1,5 м. НР")</f>
        <v>Извещатель охранный на метал.конструкции с толщиной металла более 0,5 мм, врезной. Расст.срабатывания на металле не менее 22 мм, на дереве и пластике 35мм,длина вывода 1,5 м. НР</v>
      </c>
      <c r="C965" s="9">
        <f ca="1">IFERROR(__xludf.DUMMYFUNCTION("""COMPUTED_VALUE"""),989)</f>
        <v>989</v>
      </c>
      <c r="D965" s="6"/>
      <c r="E965" s="8"/>
    </row>
    <row r="966" spans="1:5" ht="63.75">
      <c r="A966" s="5" t="str">
        <f ca="1">IFERROR(__xludf.DUMMYFUNCTION("""COMPUTED_VALUE"""),"ИО 102-39 исп. 00 (чёрный) ПАШК425119.052")</f>
        <v>ИО 102-39 исп. 00 (чёрный) ПАШК425119.052</v>
      </c>
      <c r="B966" s="6" t="str">
        <f ca="1">IFERROR(__xludf.DUMMYFUNCTION("""COMPUTED_VALUE"""),"Извещатель охранный на метал.констр. с толщиной металла более 0,5мм , врезной, расст.срабатывания на металле не менее 22 мм, на дереве и пластике 35 мм, дл.вывода 1,5м")</f>
        <v>Извещатель охранный на метал.констр. с толщиной металла более 0,5мм , врезной, расст.срабатывания на металле не менее 22 мм, на дереве и пластике 35 мм, дл.вывода 1,5м</v>
      </c>
      <c r="C966" s="9">
        <f ca="1">IFERROR(__xludf.DUMMYFUNCTION("""COMPUTED_VALUE"""),1022.35)</f>
        <v>1022.35</v>
      </c>
      <c r="D966" s="6"/>
      <c r="E966" s="8"/>
    </row>
    <row r="967" spans="1:5" ht="76.5">
      <c r="A967" s="5" t="str">
        <f ca="1">IFERROR(__xludf.DUMMYFUNCTION("""COMPUTED_VALUE"""),"ИО 102-39 исп.01 (белый) ПАШК425119.052")</f>
        <v>ИО 102-39 исп.01 (белый) ПАШК425119.052</v>
      </c>
      <c r="B967" s="6" t="str">
        <f ca="1">IFERROR(__xludf.DUMMYFUNCTION("""COMPUTED_VALUE"""),"Извещатель охранный на метал.конструкции с толщиной металла более 0,5мм ,врезной. С переключающим герконом, Расст.срабатывания на металле не менее 13 мм, на дереве и пластике 18мм, длина вывода 1,5 м")</f>
        <v>Извещатель охранный на метал.конструкции с толщиной металла более 0,5мм ,врезной. С переключающим герконом, Расст.срабатывания на металле не менее 13 мм, на дереве и пластике 18мм, длина вывода 1,5 м</v>
      </c>
      <c r="C967" s="9">
        <f ca="1">IFERROR(__xludf.DUMMYFUNCTION("""COMPUTED_VALUE"""),2041.25)</f>
        <v>2041.25</v>
      </c>
      <c r="D967" s="6"/>
      <c r="E967" s="8"/>
    </row>
    <row r="968" spans="1:5" ht="89.25">
      <c r="A968" s="5" t="str">
        <f ca="1">IFERROR(__xludf.DUMMYFUNCTION("""COMPUTED_VALUE"""),"ИО 102-39 исп.01 (чёрный) ПАШК425119.052")</f>
        <v>ИО 102-39 исп.01 (чёрный) ПАШК425119.052</v>
      </c>
      <c r="B968" s="6" t="str">
        <f ca="1">IFERROR(__xludf.DUMMYFUNCTION("""COMPUTED_VALUE"""),"Извещатель охранный на метал.конструкции с толщиной металла более 0,5 мм, врезной, с переключающим герконом, расст.срабатывания на металле 13мм, на дереве и пластике 18 мм, длина вывода 1,5м.")</f>
        <v>Извещатель охранный на метал.конструкции с толщиной металла более 0,5 мм, врезной, с переключающим герконом, расст.срабатывания на металле 13мм, на дереве и пластике 18 мм, длина вывода 1,5м.</v>
      </c>
      <c r="C968" s="9">
        <f ca="1">IFERROR(__xludf.DUMMYFUNCTION("""COMPUTED_VALUE"""),2073.45)</f>
        <v>2073.4499999999998</v>
      </c>
      <c r="D968" s="6"/>
      <c r="E968" s="8"/>
    </row>
    <row r="969" spans="1:5" ht="102">
      <c r="A969" s="5" t="str">
        <f ca="1">IFERROR(__xludf.DUMMYFUNCTION("""COMPUTED_VALUE"""),"ИО 102-39/29 ПАШК.425119.052")</f>
        <v>ИО 102-39/29 ПАШК.425119.052</v>
      </c>
      <c r="B969" s="6" t="str">
        <f ca="1">IFERROR(__xludf.DUMMYFUNCTION("""COMPUTED_VALUE"""),"Извещатель охранный на метал.конструкции с толщиной металла более 0,5 мм,  Комбинированный — врезной датчик/накладной магнит. Нормально разомкнутый.  Расстояние срабатывания на металле не менее 10мм, на дереве и пластике 15мм, длина вывода 1,5 м. ")</f>
        <v xml:space="preserve">Извещатель охранный на метал.конструкции с толщиной металла более 0,5 мм,  Комбинированный — врезной датчик/накладной магнит. Нормально разомкнутый.  Расстояние срабатывания на металле не менее 10мм, на дереве и пластике 15мм, длина вывода 1,5 м. </v>
      </c>
      <c r="C969" s="9">
        <f ca="1">IFERROR(__xludf.DUMMYFUNCTION("""COMPUTED_VALUE"""),989)</f>
        <v>989</v>
      </c>
      <c r="D969" s="6"/>
      <c r="E969" s="8"/>
    </row>
    <row r="970" spans="1:5" ht="102">
      <c r="A970" s="5" t="str">
        <f ca="1">IFERROR(__xludf.DUMMYFUNCTION("""COMPUTED_VALUE"""),"ИО 102-39/29 П ПАШК.425119.052")</f>
        <v>ИО 102-39/29 П ПАШК.425119.052</v>
      </c>
      <c r="B970" s="6" t="str">
        <f ca="1">IFERROR(__xludf.DUMMYFUNCTION("""COMPUTED_VALUE"""),"Извещатель охранный на метал.конструкции с толщиной металла более 0,5мм.  Комбинированный — врезной датчик/накладной магнит. С переключающим герконом. Расстояние срабатывания на металле не менее 6 мм, на дереве и пластике 10мм, длина вывода 1,5 м")</f>
        <v>Извещатель охранный на метал.конструкции с толщиной металла более 0,5мм.  Комбинированный — врезной датчик/накладной магнит. С переключающим герконом. Расстояние срабатывания на металле не менее 6 мм, на дереве и пластике 10мм, длина вывода 1,5 м</v>
      </c>
      <c r="C970" s="9">
        <f ca="1">IFERROR(__xludf.DUMMYFUNCTION("""COMPUTED_VALUE"""),2042)</f>
        <v>2042</v>
      </c>
      <c r="D970" s="6"/>
      <c r="E970" s="8"/>
    </row>
    <row r="971" spans="1:5" ht="89.25">
      <c r="A971" s="5" t="str">
        <f ca="1">IFERROR(__xludf.DUMMYFUNCTION("""COMPUTED_VALUE"""),"ИО 102-39 исп.00 FRHF ПАШК425119.052")</f>
        <v>ИО 102-39 исп.00 FRHF ПАШК425119.052</v>
      </c>
      <c r="B971" s="6" t="str">
        <f ca="1">IFERROR(__xludf.DUMMYFUNCTION("""COMPUTED_VALUE"""),"На метал.конструкции с толщиной металла более 0,5 мм, врезной. Расст.срабатывания на металле не менее 22 мм, на дереве и пластике 35мм,НР, вывод- огнестойкий безгалогенный FRHF провод 2х2х0,2 в двойной изоляции, 350мм")</f>
        <v>На метал.конструкции с толщиной металла более 0,5 мм, врезной. Расст.срабатывания на металле не менее 22 мм, на дереве и пластике 35мм,НР, вывод- огнестойкий безгалогенный FRHF провод 2х2х0,2 в двойной изоляции, 350мм</v>
      </c>
      <c r="C971" s="9">
        <f ca="1">IFERROR(__xludf.DUMMYFUNCTION("""COMPUTED_VALUE"""),1140)</f>
        <v>1140</v>
      </c>
      <c r="D971" s="6"/>
      <c r="E971" s="8"/>
    </row>
    <row r="972" spans="1:5" ht="89.25">
      <c r="A972" s="5" t="str">
        <f ca="1">IFERROR(__xludf.DUMMYFUNCTION("""COMPUTED_VALUE"""),"ИО 102-39 исп. 00 АВТО ПАШК425119.052")</f>
        <v>ИО 102-39 исп. 00 АВТО ПАШК425119.052</v>
      </c>
      <c r="B972" s="6" t="str">
        <f ca="1">IFERROR(__xludf.DUMMYFUNCTION("""COMPUTED_VALUE"""),"Извещатель охранный на метал.констр. с Толщиной металла более 0,5мм , врезной, расст.срабатывания на металле не менее 22 мм, на дереве и пластике 35 мм, вывод - ударопрочный, масло-бензостойкий кабель 2х0,7 в двойной изоляции, 350мм.")</f>
        <v>Извещатель охранный на метал.констр. с Толщиной металла более 0,5мм , врезной, расст.срабатывания на металле не менее 22 мм, на дереве и пластике 35 мм, вывод - ударопрочный, масло-бензостойкий кабель 2х0,7 в двойной изоляции, 350мм.</v>
      </c>
      <c r="C972" s="9">
        <f ca="1">IFERROR(__xludf.DUMMYFUNCTION("""COMPUTED_VALUE"""),1240)</f>
        <v>1240</v>
      </c>
      <c r="D972" s="6"/>
      <c r="E972" s="8"/>
    </row>
    <row r="973" spans="1:5" ht="25.5">
      <c r="A973" s="5" t="str">
        <f ca="1">IFERROR(__xludf.DUMMYFUNCTION("""COMPUTED_VALUE"""),"ИО 102-59 исп.00 ПАШК.425119.131ТУ")</f>
        <v>ИО 102-59 исп.00 ПАШК.425119.131ТУ</v>
      </c>
      <c r="B973" s="6" t="str">
        <f ca="1">IFERROR(__xludf.DUMMYFUNCTION("""COMPUTED_VALUE"""),"НР, корпус из нержавеющей стали марки 12Х18Н10Т, вывод 0,5м, IP68")</f>
        <v>НР, корпус из нержавеющей стали марки 12Х18Н10Т, вывод 0,5м, IP68</v>
      </c>
      <c r="C973" s="9">
        <f ca="1">IFERROR(__xludf.DUMMYFUNCTION("""COMPUTED_VALUE"""),5190.9)</f>
        <v>5190.8999999999996</v>
      </c>
      <c r="D973" s="6"/>
      <c r="E973" s="8"/>
    </row>
    <row r="974" spans="1:5" ht="38.25">
      <c r="A974" s="5" t="str">
        <f ca="1">IFERROR(__xludf.DUMMYFUNCTION("""COMPUTED_VALUE"""),"ИО 102-59 исп.02 ПАШК.425119.131ТУ")</f>
        <v>ИО 102-59 исп.02 ПАШК.425119.131ТУ</v>
      </c>
      <c r="B974" s="6" t="str">
        <f ca="1">IFERROR(__xludf.DUMMYFUNCTION("""COMPUTED_VALUE"""),"Переключающий, корпус из нержавеющей стали марки 12Х18Н10Т, вывод 0,5м, IP68")</f>
        <v>Переключающий, корпус из нержавеющей стали марки 12Х18Н10Т, вывод 0,5м, IP68</v>
      </c>
      <c r="C974" s="9">
        <f ca="1">IFERROR(__xludf.DUMMYFUNCTION("""COMPUTED_VALUE"""),6229.08)</f>
        <v>6229.08</v>
      </c>
      <c r="D974" s="6"/>
      <c r="E974" s="8"/>
    </row>
    <row r="975" spans="1:5" ht="51">
      <c r="A975" s="5" t="str">
        <f ca="1">IFERROR(__xludf.DUMMYFUNCTION("""COMPUTED_VALUE"""),"ИО102-555 НР ПАШК.425119.111ТУ")</f>
        <v>ИО102-555 НР ПАШК.425119.111ТУ</v>
      </c>
      <c r="B975" s="6" t="str">
        <f ca="1">IFERROR(__xludf.DUMMYFUNCTION("""COMPUTED_VALUE"""),"Пластиковый корпус. Нормально разомкнутый. Вывод 180мм, КСПВГ 2х0,2. Расстояние срабатывания 20мм. Расстояние восстановления 45мм")</f>
        <v>Пластиковый корпус. Нормально разомкнутый. Вывод 180мм, КСПВГ 2х0,2. Расстояние срабатывания 20мм. Расстояние восстановления 45мм</v>
      </c>
      <c r="C975" s="9">
        <f ca="1">IFERROR(__xludf.DUMMYFUNCTION("""COMPUTED_VALUE"""),245)</f>
        <v>245</v>
      </c>
      <c r="D975" s="6"/>
      <c r="E975" s="8"/>
    </row>
    <row r="976" spans="1:5" ht="51">
      <c r="A976" s="5" t="str">
        <f ca="1">IFERROR(__xludf.DUMMYFUNCTION("""COMPUTED_VALUE"""),"ИО102-555 2НР ПАШК.425119.111ТУ")</f>
        <v>ИО102-555 2НР ПАШК.425119.111ТУ</v>
      </c>
      <c r="B976" s="6" t="str">
        <f ca="1">IFERROR(__xludf.DUMMYFUNCTION("""COMPUTED_VALUE"""),"Пластиковый корпус. 2 геркона. Нормально разомкнутый. Вывод 180мм, КСПВГ 4х0,2. Расстояние срабатывания 20мм. Расстояние восстановления 45мм")</f>
        <v>Пластиковый корпус. 2 геркона. Нормально разомкнутый. Вывод 180мм, КСПВГ 4х0,2. Расстояние срабатывания 20мм. Расстояние восстановления 45мм</v>
      </c>
      <c r="C976" s="9">
        <f ca="1">IFERROR(__xludf.DUMMYFUNCTION("""COMPUTED_VALUE"""),304.535)</f>
        <v>304.53500000000003</v>
      </c>
      <c r="D976" s="6"/>
      <c r="E976" s="8"/>
    </row>
    <row r="977" spans="1:5" ht="89.25">
      <c r="A977" s="5" t="str">
        <f ca="1">IFERROR(__xludf.DUMMYFUNCTION("""COMPUTED_VALUE"""),"ИО102-555 НР+ТШ ПАШК.425119.111ТУ")</f>
        <v>ИО102-555 НР+ТШ ПАШК.425119.111ТУ</v>
      </c>
      <c r="B977" s="6" t="str">
        <f ca="1">IFERROR(__xludf.DUMMYFUNCTION("""COMPUTED_VALUE"""),"Пластиковый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Расстояние восстановления 45мм")</f>
        <v>Пластиковый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Расстояние восстановления 45мм</v>
      </c>
      <c r="C977" s="9">
        <f ca="1">IFERROR(__xludf.DUMMYFUNCTION("""COMPUTED_VALUE"""),253.319)</f>
        <v>253.31899999999999</v>
      </c>
      <c r="D977" s="6"/>
      <c r="E977" s="8"/>
    </row>
    <row r="978" spans="1:5" ht="51">
      <c r="A978" s="5" t="str">
        <f ca="1">IFERROR(__xludf.DUMMYFUNCTION("""COMPUTED_VALUE"""),"ИО102-555 П ПАШК.425119.111ТУ")</f>
        <v>ИО102-555 П ПАШК.425119.111ТУ</v>
      </c>
      <c r="B978" s="6" t="str">
        <f ca="1">IFERROR(__xludf.DUMMYFUNCTION("""COMPUTED_VALUE"""),"Пластиковый корпус. Переключающий. Вывод 180мм, КСПВГ 3х0,2. Расстояние срабатывания 15мм. Расстояние восстановления 35мм")</f>
        <v>Пластиковый корпус. Переключающий. Вывод 180мм, КСПВГ 3х0,2. Расстояние срабатывания 15мм. Расстояние восстановления 35мм</v>
      </c>
      <c r="C978" s="9">
        <f ca="1">IFERROR(__xludf.DUMMYFUNCTION("""COMPUTED_VALUE"""),602.8)</f>
        <v>602.79999999999995</v>
      </c>
      <c r="D978" s="6"/>
      <c r="E978" s="8"/>
    </row>
    <row r="979" spans="1:5" ht="38.25">
      <c r="A979" s="5" t="str">
        <f ca="1">IFERROR(__xludf.DUMMYFUNCTION("""COMPUTED_VALUE"""),"ИО102-555 (Al) НР ПАШК.425119.111ТУ")</f>
        <v>ИО102-555 (Al) НР ПАШК.425119.111ТУ</v>
      </c>
      <c r="B979" s="6" t="str">
        <f ca="1">IFERROR(__xludf.DUMMYFUNCTION("""COMPUTED_VALUE"""),"Алюминиевый корпус, нормально разомкнутый. Вывод 180мм, КСПВГ 2х0,2. Расстояние срабатывания 20мм. ")</f>
        <v>Алюминиевый корпус, нормально разомкнутый. Вывод 180мм, КСПВГ 2х0,2. Расстояние срабатывания 20мм. </v>
      </c>
      <c r="C979" s="9">
        <f ca="1">IFERROR(__xludf.DUMMYFUNCTION("""COMPUTED_VALUE"""),732.6)</f>
        <v>732.6</v>
      </c>
      <c r="D979" s="6"/>
      <c r="E979" s="8"/>
    </row>
    <row r="980" spans="1:5" ht="51">
      <c r="A980" s="5" t="str">
        <f ca="1">IFERROR(__xludf.DUMMYFUNCTION("""COMPUTED_VALUE"""),"ИО102-555 (Al) 2НР ПАШК.425119.111ТУ")</f>
        <v>ИО102-555 (Al) 2НР ПАШК.425119.111ТУ</v>
      </c>
      <c r="B980" s="6" t="str">
        <f ca="1">IFERROR(__xludf.DUMMYFUNCTION("""COMPUTED_VALUE"""),"Алюминиевый корпус,. 2 геркона, нормально разомкнутый. Вывод 180мм, КСПВГ 4х0,2. Расстояние срабатывания 20мм. ")</f>
        <v>Алюминиевый корпус,. 2 геркона, нормально разомкнутый. Вывод 180мм, КСПВГ 4х0,2. Расстояние срабатывания 20мм. </v>
      </c>
      <c r="C980" s="9">
        <f ca="1">IFERROR(__xludf.DUMMYFUNCTION("""COMPUTED_VALUE"""),794.2)</f>
        <v>794.2</v>
      </c>
      <c r="D980" s="6"/>
      <c r="E980" s="8"/>
    </row>
    <row r="981" spans="1:5" ht="76.5">
      <c r="A981" s="5" t="str">
        <f ca="1">IFERROR(__xludf.DUMMYFUNCTION("""COMPUTED_VALUE"""),"ИО102-555 (Al) НР+ТШ ПАШК.425119.111ТУ")</f>
        <v>ИО102-555 (Al) НР+ТШ ПАШК.425119.111ТУ</v>
      </c>
      <c r="B981" s="6" t="str">
        <f ca="1">IFERROR(__xludf.DUMMYFUNCTION("""COMPUTED_VALUE"""),"Алюминиевый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f>
        <v>Алюминиевый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v>
      </c>
      <c r="C981" s="9">
        <f ca="1">IFERROR(__xludf.DUMMYFUNCTION("""COMPUTED_VALUE"""),754.6)</f>
        <v>754.6</v>
      </c>
      <c r="D981" s="6"/>
      <c r="E981" s="8"/>
    </row>
    <row r="982" spans="1:5" ht="38.25">
      <c r="A982" s="5" t="str">
        <f ca="1">IFERROR(__xludf.DUMMYFUNCTION("""COMPUTED_VALUE"""),"ИО102-555 (Al) П ПАШК.425119.111ТУ")</f>
        <v>ИО102-555 (Al) П ПАШК.425119.111ТУ</v>
      </c>
      <c r="B982" s="6" t="str">
        <f ca="1">IFERROR(__xludf.DUMMYFUNCTION("""COMPUTED_VALUE"""),"Алюминиевый корпус. Переключающий. Вывод 180мм, КСПВГ 3х0,2. Расстояние срабатывания 15мм. ")</f>
        <v>Алюминиевый корпус. Переключающий. Вывод 180мм, КСПВГ 3х0,2. Расстояние срабатывания 15мм. </v>
      </c>
      <c r="C982" s="9">
        <f ca="1">IFERROR(__xludf.DUMMYFUNCTION("""COMPUTED_VALUE"""),926.2)</f>
        <v>926.2</v>
      </c>
      <c r="D982" s="6"/>
      <c r="E982" s="8"/>
    </row>
    <row r="983" spans="1:5" ht="25.5">
      <c r="A983" s="5" t="str">
        <f ca="1">IFERROR(__xludf.DUMMYFUNCTION("""COMPUTED_VALUE"""),"СК555 АТФЕ.425119.119")</f>
        <v>СК555 АТФЕ.425119.119</v>
      </c>
      <c r="B983" s="6" t="str">
        <f ca="1">IFERROR(__xludf.DUMMYFUNCTION("""COMPUTED_VALUE"""),"Датчик положения, пластиковый корпус, Нормально разомкнутый")</f>
        <v>Датчик положения, пластиковый корпус, Нормально разомкнутый</v>
      </c>
      <c r="C983" s="9">
        <f ca="1">IFERROR(__xludf.DUMMYFUNCTION("""COMPUTED_VALUE"""),278.575)</f>
        <v>278.57499999999999</v>
      </c>
      <c r="D983" s="6"/>
      <c r="E983" s="8"/>
    </row>
    <row r="984" spans="1:5" ht="51">
      <c r="A984" s="5" t="str">
        <f ca="1">IFERROR(__xludf.DUMMYFUNCTION("""COMPUTED_VALUE"""),"СК555 (Al) АТФЕ.425119.119")</f>
        <v>СК555 (Al) АТФЕ.425119.119</v>
      </c>
      <c r="B984" s="6" t="str">
        <f ca="1">IFERROR(__xludf.DUMMYFUNCTION("""COMPUTED_VALUE"""),"Датчик положения, усиленный алюминиевый корпус, Нормально разомкнутый. Расстояние срабатывания 20 мм.")</f>
        <v>Датчик положения, усиленный алюминиевый корпус, Нормально разомкнутый. Расстояние срабатывания 20 мм.</v>
      </c>
      <c r="C984" s="9">
        <f ca="1">IFERROR(__xludf.DUMMYFUNCTION("""COMPUTED_VALUE"""),1584)</f>
        <v>1584</v>
      </c>
      <c r="D984" s="6"/>
      <c r="E984" s="8"/>
    </row>
    <row r="985" spans="1:5" ht="38.25">
      <c r="A985" s="5" t="str">
        <f ca="1">IFERROR(__xludf.DUMMYFUNCTION("""COMPUTED_VALUE"""),"ДП 102-2 ПАШК.425119.045")</f>
        <v>ДП 102-2 ПАШК.425119.045</v>
      </c>
      <c r="B985" s="6" t="str">
        <f ca="1">IFERROR(__xludf.DUMMYFUNCTION("""COMPUTED_VALUE"""),"Переклечен при расст. 8мм и менее, не переключен при расст. 45мм и более, 58х11х11")</f>
        <v>Переклечен при расст. 8мм и менее, не переключен при расст. 45мм и более, 58х11х11</v>
      </c>
      <c r="C985" s="9">
        <f ca="1">IFERROR(__xludf.DUMMYFUNCTION("""COMPUTED_VALUE"""),1117.776)</f>
        <v>1117.7760000000001</v>
      </c>
      <c r="D985" s="6"/>
      <c r="E985" s="8"/>
    </row>
    <row r="986" spans="1:5" ht="76.5">
      <c r="A986" s="5" t="str">
        <f ca="1">IFERROR(__xludf.DUMMYFUNCTION("""COMPUTED_VALUE"""),"ДП 102-4 НЗ ПАШК.425119.055")</f>
        <v>ДП 102-4 НЗ ПАШК.425119.055</v>
      </c>
      <c r="B986" s="6" t="str">
        <f ca="1">IFERROR(__xludf.DUMMYFUNCTION("""COMPUTED_VALUE"""),"2-х блочный (блок магнитов во взрывозащищенном корпусе ИО 102-26/В «Аякс» 0ExiaIICT6, блок датчика в корпусе ИО 102-4). Контакты разомкнуты при расстоянии 20мм, замкнуты на расстоянии 40мм и более.")</f>
        <v>2-х блочный (блок магнитов во взрывозащищенном корпусе ИО 102-26/В «Аякс» 0ExiaIICT6, блок датчика в корпусе ИО 102-4). Контакты разомкнуты при расстоянии 20мм, замкнуты на расстоянии 40мм и более.</v>
      </c>
      <c r="C986" s="9">
        <f ca="1">IFERROR(__xludf.DUMMYFUNCTION("""COMPUTED_VALUE"""),1108.602)</f>
        <v>1108.6020000000001</v>
      </c>
      <c r="D986" s="6"/>
      <c r="E986" s="8"/>
    </row>
    <row r="987" spans="1:5" ht="114.75">
      <c r="A987" s="5" t="str">
        <f ca="1">IFERROR(__xludf.DUMMYFUNCTION("""COMPUTED_VALUE"""),"Кронштейн К-26 для монтажа извещателей охранных ИО 102-26 АТФЕ.687434.185 ТУ")</f>
        <v>Кронштейн К-26 для монтажа извещателей охранных ИО 102-26 АТФЕ.687434.185 ТУ</v>
      </c>
      <c r="B987" s="6" t="str">
        <f ca="1">IFERROR(__xludf.DUMMYFUNCTION("""COMPUTED_VALUE"""),"для изменения положения при монтаже блока магнита или блока датчика извещателей ИО 102-26 (исп.00,01,02,03,04,05), ИО 102-26/В ""АЯКС"" (исп.10,20,30,40),  ИО 102-26 ""Змея"" (исп.06,07), ИО 102-26 ""Гефест"" (исп.08,09). Позволяет изменить положение одно"&amp;"го из блоков на 90 град. Нержавеющая сталь толщиной 1,5 мм")</f>
        <v>для изменения положения при монтаже блока магнита или блока датчика извещателей ИО 102-26 (исп.00,01,02,03,04,05), ИО 102-26/В "АЯКС" (исп.10,20,30,40),  ИО 102-26 "Змея" (исп.06,07), ИО 102-26 "Гефест" (исп.08,09). Позволяет изменить положение одного из блоков на 90 град. Нержавеющая сталь толщиной 1,5 мм</v>
      </c>
      <c r="C987" s="9">
        <f ca="1">IFERROR(__xludf.DUMMYFUNCTION("""COMPUTED_VALUE"""),462.462)</f>
        <v>462.46199999999999</v>
      </c>
      <c r="D987" s="6"/>
      <c r="E987" s="8"/>
    </row>
    <row r="988" spans="1:5" ht="63.75">
      <c r="A988" s="5" t="str">
        <f ca="1">IFERROR(__xludf.DUMMYFUNCTION("""COMPUTED_VALUE"""),"КР-26 АЯКС Нержавейка")</f>
        <v>КР-26 АЯКС Нержавейка</v>
      </c>
      <c r="B988"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988" s="9">
        <f ca="1">IFERROR(__xludf.DUMMYFUNCTION("""COMPUTED_VALUE"""),620)</f>
        <v>620</v>
      </c>
      <c r="D988" s="6"/>
      <c r="E988" s="8"/>
    </row>
    <row r="989" spans="1:5" ht="63.75">
      <c r="A989" s="5" t="str">
        <f ca="1">IFERROR(__xludf.DUMMYFUNCTION("""COMPUTED_VALUE"""),"Кронштейн К-26-100/200 для монтажа извещателей охранных ИО 102-26 исп. 100, 200 АТФЕ.687434.185 ТУ")</f>
        <v>Кронштейн К-26-100/200 для монтажа извещателей охранных ИО 102-26 исп. 100, 200 АТФЕ.687434.185 ТУ</v>
      </c>
      <c r="B989" s="6" t="str">
        <f ca="1">IFERROR(__xludf.DUMMYFUNCTION("""COMPUTED_VALUE"""),"для изменения положения при монтаже блока магнита или блока датчика магнитоконтактных извещателей ИО 102-26 (исп. 100, 200) к поверхностям охраняемых конструкций.")</f>
        <v>для изменения положения при монтаже блока магнита или блока датчика магнитоконтактных извещателей ИО 102-26 (исп. 100, 200) к поверхностям охраняемых конструкций.</v>
      </c>
      <c r="C989" s="9">
        <f ca="1">IFERROR(__xludf.DUMMYFUNCTION("""COMPUTED_VALUE"""),669.9)</f>
        <v>669.9</v>
      </c>
      <c r="D989" s="6"/>
      <c r="E989" s="8"/>
    </row>
    <row r="990" spans="1:5" ht="63.75">
      <c r="A990" s="5" t="str">
        <f ca="1">IFERROR(__xludf.DUMMYFUNCTION("""COMPUTED_VALUE"""),"КР-26-100/200 АЯКС Нержавейка")</f>
        <v>КР-26-100/200 АЯКС Нержавейка</v>
      </c>
      <c r="B990"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990" s="9">
        <f ca="1">IFERROR(__xludf.DUMMYFUNCTION("""COMPUTED_VALUE"""),830)</f>
        <v>830</v>
      </c>
      <c r="D990" s="6"/>
      <c r="E990" s="8"/>
    </row>
    <row r="991" spans="1:5" ht="51">
      <c r="A991" s="5" t="str">
        <f ca="1">IFERROR(__xludf.DUMMYFUNCTION("""COMPUTED_VALUE"""),"ИО 102-26 исп.00 ""АЯКС"" Основной цвет корпуса белый. По согласованию с заказчиком возможна поставка серо-металлического и черного цвета. ПАШК.425119.008")</f>
        <v>ИО 102-26 исп.00 "АЯКС" Основной цвет корпуса белый. По согласованию с заказчиком возможна поставка серо-металлического и черного цвета. ПАШК.425119.008</v>
      </c>
      <c r="B991" s="6" t="str">
        <f ca="1">IFERROR(__xludf.DUMMYFUNCTION("""COMPUTED_VALUE"""),"Датчик для установки на металл НР, вывод- провод в двойной изоляции 350мм. С увеличенным расстоянием срабатывания плюс 30 руб.")</f>
        <v>Датчик для установки на металл НР, вывод- провод в двойной изоляции 350мм. С увеличенным расстоянием срабатывания плюс 30 руб.</v>
      </c>
      <c r="C991" s="9">
        <f ca="1">IFERROR(__xludf.DUMMYFUNCTION("""COMPUTED_VALUE"""),378)</f>
        <v>378</v>
      </c>
      <c r="D991" s="6"/>
      <c r="E991" s="8"/>
    </row>
    <row r="992" spans="1:5" ht="51">
      <c r="A992" s="5" t="str">
        <f ca="1">IFERROR(__xludf.DUMMYFUNCTION("""COMPUTED_VALUE"""),"ИО 102-26 исп.00 ""АЯКС"" цвет корпуса КОРИЧНЕВЫЙ ПАШК.425119.008")</f>
        <v>ИО 102-26 исп.00 "АЯКС" цвет корпуса КОРИЧНЕВЫЙ ПАШК.425119.008</v>
      </c>
      <c r="B992" s="6" t="str">
        <f ca="1">IFERROR(__xludf.DUMMYFUNCTION("""COMPUTED_VALUE"""),"Датчик для установки на металл НР, вывод- провод в двойной изоляции 350мм. С увеличенным расстоянием срабатывания плюс 30 руб.")</f>
        <v>Датчик для установки на металл НР, вывод- провод в двойной изоляции 350мм. С увеличенным расстоянием срабатывания плюс 30 руб.</v>
      </c>
      <c r="C992" s="9">
        <f ca="1">IFERROR(__xludf.DUMMYFUNCTION("""COMPUTED_VALUE"""),378)</f>
        <v>378</v>
      </c>
      <c r="D992" s="6"/>
      <c r="E992" s="8"/>
    </row>
    <row r="993" spans="1:5" ht="51">
      <c r="A993" s="5" t="str">
        <f ca="1">IFERROR(__xludf.DUMMYFUNCTION("""COMPUTED_VALUE"""),"ИО 102-26 исп.00 ""АЯКС"" цвет корпуса ТЕРРАКОТОВЫЙ ПАШК.425119.008")</f>
        <v>ИО 102-26 исп.00 "АЯКС" цвет корпуса ТЕРРАКОТОВЫЙ ПАШК.425119.008</v>
      </c>
      <c r="B993" s="6" t="str">
        <f ca="1">IFERROR(__xludf.DUMMYFUNCTION("""COMPUTED_VALUE"""),"Датчик для установки на металл НР, вывод- провод в двойной изоляции 350мм. С увеличенным расстоянием срабатывания плюс 30 руб.")</f>
        <v>Датчик для установки на металл НР, вывод- провод в двойной изоляции 350мм. С увеличенным расстоянием срабатывания плюс 30 руб.</v>
      </c>
      <c r="C993" s="9">
        <f ca="1">IFERROR(__xludf.DUMMYFUNCTION("""COMPUTED_VALUE"""),378)</f>
        <v>378</v>
      </c>
      <c r="D993" s="6"/>
      <c r="E993" s="8"/>
    </row>
    <row r="994" spans="1:5" ht="25.5">
      <c r="A994" s="5" t="str">
        <f ca="1">IFERROR(__xludf.DUMMYFUNCTION("""COMPUTED_VALUE"""),"ИО 102-26 исп.00 2хНР ""АЯКС"" ПАШК.425119.008")</f>
        <v>ИО 102-26 исп.00 2хНР "АЯКС" ПАШК.425119.008</v>
      </c>
      <c r="B994" s="6" t="str">
        <f ca="1">IFERROR(__xludf.DUMMYFUNCTION("""COMPUTED_VALUE"""),"Два геркона. Контакты нормально разомкнуты.")</f>
        <v>Два геркона. Контакты нормально разомкнуты.</v>
      </c>
      <c r="C994" s="9">
        <f ca="1">IFERROR(__xludf.DUMMYFUNCTION("""COMPUTED_VALUE"""),793)</f>
        <v>793</v>
      </c>
      <c r="D994" s="6"/>
      <c r="E994" s="8"/>
    </row>
    <row r="995" spans="1:5" ht="63.75">
      <c r="A995" s="5" t="str">
        <f ca="1">IFERROR(__xludf.DUMMYFUNCTION("""COMPUTED_VALUE"""),"ИО 102-26 исп.01 ""АЯКС"" Основной цвет корпуса белый. По согласованию с заказчиком возможна поставка серо-металлического и черного цвета. ПАШК.425119.008")</f>
        <v>ИО 102-26 исп.01 "АЯКС" Основной цвет корпуса белый. По согласованию с заказчиком возможна поставка серо-металлического и черного цвета. ПАШК.425119.008</v>
      </c>
      <c r="B995" s="6" t="str">
        <f ca="1">IFERROR(__xludf.DUMMYFUNCTION("""COMPUTED_VALUE"""),"Датчик для установки на металл НР, внутренний разъём.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 внутренний разъём. С увеличенным расстоянием срабатывания плюс 30 руб. Возможно изготовление датчиков серого и коричневого цветов (плюс 3 руб).</v>
      </c>
      <c r="C995" s="9">
        <f ca="1">IFERROR(__xludf.DUMMYFUNCTION("""COMPUTED_VALUE"""),534.45)</f>
        <v>534.45000000000005</v>
      </c>
      <c r="D995" s="6"/>
      <c r="E995" s="8"/>
    </row>
    <row r="996" spans="1:5" ht="76.5">
      <c r="A996" s="5" t="str">
        <f ca="1">IFERROR(__xludf.DUMMYFUNCTION("""COMPUTED_VALUE"""),"ИО 102-26 исп.01/1 ""Аякс"" ПАШК.425119.008")</f>
        <v>ИО 102-26 исп.01/1 "Аякс" ПАШК.425119.008</v>
      </c>
      <c r="B996" s="6" t="str">
        <f ca="1">IFERROR(__xludf.DUMMYFUNCTION("""COMPUTED_VALUE"""),"Датчик для установки на металл НР, две винтовые клеммы, винт М3 (0.5-2,5мм.кв)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 две винтовые клеммы, винт М3 (0.5-2,5мм.кв) С увеличенным расстоянием срабатывания плюс 30 руб. Возможно изготовление датчиков серого и коричневого цветов (плюс 3 руб)</v>
      </c>
      <c r="C996" s="9">
        <f ca="1">IFERROR(__xludf.DUMMYFUNCTION("""COMPUTED_VALUE"""),742.35)</f>
        <v>742.35</v>
      </c>
      <c r="D996" s="6"/>
      <c r="E996" s="8"/>
    </row>
    <row r="997" spans="1:5" ht="76.5">
      <c r="A997" s="5" t="str">
        <f ca="1">IFERROR(__xludf.DUMMYFUNCTION("""COMPUTED_VALUE"""),"ИО 102-26 исп.01/2 ""Аякс"" ПАШК.425119.008")</f>
        <v>ИО 102-26 исп.01/2 "Аякс" ПАШК.425119.008</v>
      </c>
      <c r="B997" s="6" t="str">
        <f ca="1">IFERROR(__xludf.DUMMYFUNCTION("""COMPUTED_VALUE"""),"Датчик для установки на металл НР, две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 две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v>
      </c>
      <c r="C997" s="9">
        <f ca="1">IFERROR(__xludf.DUMMYFUNCTION("""COMPUTED_VALUE"""),829.5)</f>
        <v>829.5</v>
      </c>
      <c r="D997" s="6"/>
      <c r="E997" s="8"/>
    </row>
    <row r="998" spans="1:5" ht="76.5">
      <c r="A998" s="5" t="str">
        <f ca="1">IFERROR(__xludf.DUMMYFUNCTION("""COMPUTED_VALUE"""),"ИО 102-26 исп.02 ""АЯКС"" Основной цвет корпуса белый. По согласованию с заказчиком возможна поставка серо-металлического и черного цвета. ПАШК.425119.008")</f>
        <v>ИО 102-26 исп.02 "АЯКС" Основной цвет корпуса белый. По согласованию с заказчиком возможна поставка серо-металлического и черного цвета. ПАШК.425119.008</v>
      </c>
      <c r="B998" s="6" t="str">
        <f ca="1">IFERROR(__xludf.DUMMYFUNCTION("""COMPUTED_VALUE"""),"Датчик для установки на металл, переключающий, провод в двойной изоляции 350мм.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провод в двойной изоляции 350мм. С увеличенным расстоянием срабатывания плюс 30 руб. Возможно изготовление датчиков серого и коричневого цветов (плюс 3 руб)</v>
      </c>
      <c r="C998" s="9">
        <f ca="1">IFERROR(__xludf.DUMMYFUNCTION("""COMPUTED_VALUE"""),1457.4)</f>
        <v>1457.4</v>
      </c>
      <c r="D998" s="6"/>
      <c r="E998" s="8"/>
    </row>
    <row r="999" spans="1:5" ht="76.5">
      <c r="A999" s="5" t="str">
        <f ca="1">IFERROR(__xludf.DUMMYFUNCTION("""COMPUTED_VALUE"""),"ИО 102-26 исп.03 ""АЯКС"" Основной цвет корпуса белый. По согласованию с заказчиком возможна поставка серо-металлического и черного цвета. ПАШК.425119.008")</f>
        <v>ИО 102-26 исп.03 "АЯКС" Основной цвет корпуса белый. По согласованию с заказчиком возможна поставка серо-металлического и черного цвета. ПАШК.425119.008</v>
      </c>
      <c r="B999" s="6" t="str">
        <f ca="1">IFERROR(__xludf.DUMMYFUNCTION("""COMPUTED_VALUE"""),"Датчик для установки на металл, переключающий, внутренний разъём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внутренний разъём С увеличенным расстоянием срабатывания плюс 30 руб. Возможно изготовление датчиков серого и коричневого цветов (плюс 3 руб)</v>
      </c>
      <c r="C999" s="9">
        <f ca="1">IFERROR(__xludf.DUMMYFUNCTION("""COMPUTED_VALUE"""),1433.25)</f>
        <v>1433.25</v>
      </c>
      <c r="D999" s="6"/>
      <c r="E999" s="8"/>
    </row>
    <row r="1000" spans="1:5" ht="76.5">
      <c r="A1000" s="5" t="str">
        <f ca="1">IFERROR(__xludf.DUMMYFUNCTION("""COMPUTED_VALUE"""),"ИО 102-26 исп.03/1 ""АЯКС"" ПАШК.425119.008")</f>
        <v>ИО 102-26 исп.03/1 "АЯКС" ПАШК.425119.008</v>
      </c>
      <c r="B1000" s="6" t="str">
        <f ca="1">IFERROR(__xludf.DUMMYFUNCTION("""COMPUTED_VALUE"""),"Датчик для установки на металл, переключающий, три винтовые клеммы, винт М3 (0,5-2,5 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три винтовые клеммы, винт М3 (0,5-2,5 мм.кв.) С увеличенным расстоянием срабатывания плюс 30 руб. Возможно изготовление датчиков серого и коричневого цветов (плюс 3 руб)</v>
      </c>
      <c r="C1000" s="9">
        <f ca="1">IFERROR(__xludf.DUMMYFUNCTION("""COMPUTED_VALUE"""),1757.4018)</f>
        <v>1757.4018000000001</v>
      </c>
      <c r="D1000" s="6"/>
      <c r="E1000" s="8"/>
    </row>
    <row r="1001" spans="1:5" ht="89.25">
      <c r="A1001" s="5" t="str">
        <f ca="1">IFERROR(__xludf.DUMMYFUNCTION("""COMPUTED_VALUE"""),"ИО 102-26 исп.03/2 ""АЯКС"" ПАШК.425119.008")</f>
        <v>ИО 102-26 исп.03/2 "АЯКС" ПАШК.425119.008</v>
      </c>
      <c r="B1001" s="6" t="str">
        <f ca="1">IFERROR(__xludf.DUMMYFUNCTION("""COMPUTED_VALUE"""),"Датчик для установки на металл, переключающий, три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три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v>
      </c>
      <c r="C1001" s="9">
        <f ca="1">IFERROR(__xludf.DUMMYFUNCTION("""COMPUTED_VALUE"""),1878.2148)</f>
        <v>1878.2148</v>
      </c>
      <c r="D1001" s="6"/>
      <c r="E1001" s="8"/>
    </row>
    <row r="1002" spans="1:5" ht="76.5">
      <c r="A1002" s="5" t="str">
        <f ca="1">IFERROR(__xludf.DUMMYFUNCTION("""COMPUTED_VALUE"""),"ИО 102-26 исп.04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f>
        <v>ИО 102-26 исп.04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v>
      </c>
      <c r="B1002" s="6" t="str">
        <f ca="1">IFERROR(__xludf.DUMMYFUNCTION("""COMPUTED_VALUE"""),"Датчик для установки на металл НР(норм. разомкн.)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НР(норм. разомкн.)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v>
      </c>
      <c r="C1002" s="9">
        <f ca="1">IFERROR(__xludf.DUMMYFUNCTION("""COMPUTED_VALUE"""),561.75)</f>
        <v>561.75</v>
      </c>
      <c r="D1002" s="6"/>
      <c r="E1002" s="8"/>
    </row>
    <row r="1003" spans="1:5" ht="89.25">
      <c r="A1003" s="5" t="str">
        <f ca="1">IFERROR(__xludf.DUMMYFUNCTION("""COMPUTED_VALUE"""),"ИО 102-26 исп.04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f>
        <v>ИО 102-26 исп.04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v>
      </c>
      <c r="B1003" s="6" t="str">
        <f ca="1">IFERROR(__xludf.DUMMYFUNCTION("""COMPUTED_VALUE"""),"Датчик для установки на металл НР(норм. разомкн.)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НР(норм. разомкн.)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v>
      </c>
      <c r="C1003" s="9">
        <f ca="1">IFERROR(__xludf.DUMMYFUNCTION("""COMPUTED_VALUE"""),784.35)</f>
        <v>784.35</v>
      </c>
      <c r="D1003" s="6"/>
      <c r="E1003" s="8"/>
    </row>
    <row r="1004" spans="1:5" ht="76.5">
      <c r="A1004" s="5" t="str">
        <f ca="1">IFERROR(__xludf.DUMMYFUNCTION("""COMPUTED_VALUE"""),"ИО 102-26 исп.05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f>
        <v>ИО 102-26 исп.05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v>
      </c>
      <c r="B1004" s="6" t="str">
        <f ca="1">IFERROR(__xludf.DUMMYFUNCTION("""COMPUTED_VALUE"""),"Датчик для установки на металл переключающий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v>
      </c>
      <c r="C1004" s="9">
        <f ca="1">IFERROR(__xludf.DUMMYFUNCTION("""COMPUTED_VALUE"""),1506.75)</f>
        <v>1506.75</v>
      </c>
      <c r="D1004" s="6"/>
      <c r="E1004" s="8"/>
    </row>
    <row r="1005" spans="1:5" ht="89.25">
      <c r="A1005" s="5" t="str">
        <f ca="1">IFERROR(__xludf.DUMMYFUNCTION("""COMPUTED_VALUE"""),"ИО 102-26 исп.05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f>
        <v>ИО 102-26 исп.05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v>
      </c>
      <c r="B1005" s="6" t="str">
        <f ca="1">IFERROR(__xludf.DUMMYFUNCTION("""COMPUTED_VALUE"""),"Датчик для установки на металл переключающий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v>
      </c>
      <c r="C1005" s="9">
        <f ca="1">IFERROR(__xludf.DUMMYFUNCTION("""COMPUTED_VALUE"""),1691.55)</f>
        <v>1691.55</v>
      </c>
      <c r="D1005" s="6"/>
      <c r="E1005" s="8"/>
    </row>
    <row r="1006" spans="1:5" ht="63.75">
      <c r="A1006" s="5" t="str">
        <f ca="1">IFERROR(__xludf.DUMMYFUNCTION("""COMPUTED_VALUE"""),"ИО 102-26 исп.06 ""Змея"" металлорукав из оцинкованной стали ПАШК.425119.038")</f>
        <v>ИО 102-26 исп.06 "Змея" металлорукав из оцинкованной стали ПАШК.425119.038</v>
      </c>
      <c r="B1006" s="6" t="str">
        <f ca="1">IFERROR(__xludf.DUMMYFUNCTION("""COMPUTED_VALUE"""),"Датчик для установки на металл НР оцинкованный металлорукав 700мм. НАПОЛЬНЫЙ. Возможно изготовление датчиков серого и коричневого цветов (плюс 3 руб)")</f>
        <v>Датчик для установки на металл НР оцинкованный металлорукав 700мм. НАПОЛЬНЫЙ. Возможно изготовление датчиков серого и коричневого цветов (плюс 3 руб)</v>
      </c>
      <c r="C1006" s="9">
        <f ca="1">IFERROR(__xludf.DUMMYFUNCTION("""COMPUTED_VALUE"""),509.355)</f>
        <v>509.35500000000002</v>
      </c>
      <c r="D1006" s="6"/>
      <c r="E1006" s="8"/>
    </row>
    <row r="1007" spans="1:5" ht="63.75">
      <c r="A1007" s="5" t="str">
        <f ca="1">IFERROR(__xludf.DUMMYFUNCTION("""COMPUTED_VALUE"""),"ИО 102-26 исп.06 ""Змея"" металлорукав из нержавеющей стали ПАШК.425119.038")</f>
        <v>ИО 102-26 исп.06 "Змея" металлорукав из нержавеющей стали ПАШК.425119.038</v>
      </c>
      <c r="B1007" s="6" t="str">
        <f ca="1">IFERROR(__xludf.DUMMYFUNCTION("""COMPUTED_VALUE"""),"Датчик для установки на металл НР металлорукав из нержавеющей стали 700мм. НАПОЛЬНЫЙ. Возможно изготовление датчиков серого и коричневого цветов (плюс 3 руб)")</f>
        <v>Датчик для установки на металл НР металлорукав из нержавеющей стали 700мм. НАПОЛЬНЫЙ. Возможно изготовление датчиков серого и коричневого цветов (плюс 3 руб)</v>
      </c>
      <c r="C1007" s="9">
        <f ca="1">IFERROR(__xludf.DUMMYFUNCTION("""COMPUTED_VALUE"""),731.85)</f>
        <v>731.85</v>
      </c>
      <c r="D1007" s="6"/>
      <c r="E1007" s="8"/>
    </row>
    <row r="1008" spans="1:5" ht="63.75">
      <c r="A1008" s="5" t="str">
        <f ca="1">IFERROR(__xludf.DUMMYFUNCTION("""COMPUTED_VALUE"""),"ИО 102-26 исп.07 ""Змея"" металлорукав из оцинкованной стали ПАШК.425119.038")</f>
        <v>ИО 102-26 исп.07 "Змея" металлорукав из оцинкованной стали ПАШК.425119.038</v>
      </c>
      <c r="B1008" s="6" t="str">
        <f ca="1">IFERROR(__xludf.DUMMYFUNCTION("""COMPUTED_VALUE"""),"Датчик для установки на металл перек. Оцинкованный металлорук. 700мм. НАПОЛЬНЫЙ. Переключающий геркон. Возможно изготовление датчиков серого и коричневого цветов (плюс 3 руб)")</f>
        <v>Датчик для установки на металл перек. Оцинкованный металлорук. 700мм. НАПОЛЬНЫЙ. Переключающий геркон. Возможно изготовление датчиков серого и коричневого цветов (плюс 3 руб)</v>
      </c>
      <c r="C1008" s="9">
        <f ca="1">IFERROR(__xludf.DUMMYFUNCTION("""COMPUTED_VALUE"""),1438.5)</f>
        <v>1438.5</v>
      </c>
      <c r="D1008" s="6"/>
      <c r="E1008" s="8"/>
    </row>
    <row r="1009" spans="1:5" ht="63.75">
      <c r="A1009" s="5" t="str">
        <f ca="1">IFERROR(__xludf.DUMMYFUNCTION("""COMPUTED_VALUE"""),"ИО 102-26 исп.07 ""Змея"" металлорукав из нержавеющей стали ПАШК.425119.038")</f>
        <v>ИО 102-26 исп.07 "Змея" металлорукав из нержавеющей стали ПАШК.425119.038</v>
      </c>
      <c r="B1009" s="6" t="str">
        <f ca="1">IFERROR(__xludf.DUMMYFUNCTION("""COMPUTED_VALUE"""),"Датчик для установки на металл перек. металлорукав из нержавеющей стали 700мм. НАПОЛЬНЫЙ. Переключающий геркон. Возможно изготовление датчиков серого и коричневого цветов (плюс 3 руб)")</f>
        <v>Датчик для установки на металл перек. металлорукав из нержавеющей стали 700мм. НАПОЛЬНЫЙ. Переключающий геркон. Возможно изготовление датчиков серого и коричневого цветов (плюс 3 руб)</v>
      </c>
      <c r="C1009" s="9">
        <f ca="1">IFERROR(__xludf.DUMMYFUNCTION("""COMPUTED_VALUE"""),1753.5)</f>
        <v>1753.5</v>
      </c>
      <c r="D1009" s="6"/>
      <c r="E1009" s="8"/>
    </row>
    <row r="1010" spans="1:5" ht="51">
      <c r="A1010" s="5" t="str">
        <f ca="1">IFERROR(__xludf.DUMMYFUNCTION("""COMPUTED_VALUE"""),"ИО 102-26 исп.08 ""Гефест"" ПАШК.425119.039")</f>
        <v>ИО 102-26 исп.08 "Гефест" ПАШК.425119.039</v>
      </c>
      <c r="B1010" s="6" t="str">
        <f ca="1">IFERROR(__xludf.DUMMYFUNCTION("""COMPUTED_VALUE"""),"Комутация напр.220В,мощность коммут. до 450В. Возможно изготовление датчиков серого и коричневого цветов (плюс 3 руб)")</f>
        <v>Комутация напр.220В,мощность коммут. до 450В. Возможно изготовление датчиков серого и коричневого цветов (плюс 3 руб)</v>
      </c>
      <c r="C1010" s="9">
        <f ca="1">IFERROR(__xludf.DUMMYFUNCTION("""COMPUTED_VALUE"""),4950.75)</f>
        <v>4950.75</v>
      </c>
      <c r="D1010" s="6"/>
      <c r="E1010" s="8"/>
    </row>
    <row r="1011" spans="1:5" ht="51">
      <c r="A1011" s="5" t="str">
        <f ca="1">IFERROR(__xludf.DUMMYFUNCTION("""COMPUTED_VALUE"""),"ИО 102-26 исп.09 ""Гефест"" ПАШК.425119.039")</f>
        <v>ИО 102-26 исп.09 "Гефест" ПАШК.425119.039</v>
      </c>
      <c r="B1011" s="6" t="str">
        <f ca="1">IFERROR(__xludf.DUMMYFUNCTION("""COMPUTED_VALUE"""),"Переключающий, напр. 220В, мощность до 450В. Переключающий. Возможно изготовление датчиков серого и коричневого цветов (плюс 3 руб)")</f>
        <v>Переключающий, напр. 220В, мощность до 450В. Переключающий. Возможно изготовление датчиков серого и коричневого цветов (плюс 3 руб)</v>
      </c>
      <c r="C1011" s="9">
        <f ca="1">IFERROR(__xludf.DUMMYFUNCTION("""COMPUTED_VALUE"""),6426)</f>
        <v>6426</v>
      </c>
      <c r="D1011" s="6"/>
      <c r="E1011" s="8"/>
    </row>
    <row r="1012" spans="1:5" ht="51">
      <c r="A1012" s="5" t="str">
        <f ca="1">IFERROR(__xludf.DUMMYFUNCTION("""COMPUTED_VALUE"""),"ИО 102-26 исп. 80 ""АЯКС"" ПАШК.425119.008")</f>
        <v>ИО 102-26 исп. 80 "АЯКС" ПАШК.425119.008</v>
      </c>
      <c r="B1012" s="6" t="str">
        <f ca="1">IFERROR(__xludf.DUMMYFUNCTION("""COMPUTED_VALUE"""),"Для установки на металл, НР, вывод- огнестойкий безгалогенный FRHF провод 2х2х0,2 в двойной изоляции, 350мм. Расстояние срабатывания 25 мм")</f>
        <v>Для установки на металл, НР, вывод- огнестойкий безгалогенный FRHF провод 2х2х0,2 в двойной изоляции, 350мм. Расстояние срабатывания 25 мм</v>
      </c>
      <c r="C1012" s="9">
        <f ca="1">IFERROR(__xludf.DUMMYFUNCTION("""COMPUTED_VALUE"""),440)</f>
        <v>440</v>
      </c>
      <c r="D1012" s="6"/>
      <c r="E1012" s="8"/>
    </row>
    <row r="1013" spans="1:5" ht="51">
      <c r="A1013" s="5" t="str">
        <f ca="1">IFERROR(__xludf.DUMMYFUNCTION("""COMPUTED_VALUE"""),"ИО 102-26 исп. 90 ""АЯКС"" ПАШК.425119.008")</f>
        <v>ИО 102-26 исп. 90 "АЯКС" ПАШК.425119.008</v>
      </c>
      <c r="B1013" s="6" t="str">
        <f ca="1">IFERROR(__xludf.DUMMYFUNCTION("""COMPUTED_VALUE"""),"Для установки на металл, НР, вывод - ударопрочный, масло-бензостойкий кабель 2х0,7 в двойной изоляции, 350мм. Расстояние срабатывания 25 мм")</f>
        <v>Для установки на металл, НР, вывод - ударопрочный, масло-бензостойкий кабель 2х0,7 в двойной изоляции, 350мм. Расстояние срабатывания 25 мм</v>
      </c>
      <c r="C1013" s="9">
        <f ca="1">IFERROR(__xludf.DUMMYFUNCTION("""COMPUTED_VALUE"""),630)</f>
        <v>630</v>
      </c>
      <c r="D1013" s="6"/>
      <c r="E1013" s="8"/>
    </row>
    <row r="1014" spans="1:5" ht="114.75">
      <c r="A1014" s="5" t="str">
        <f ca="1">IFERROR(__xludf.DUMMYFUNCTION("""COMPUTED_VALUE"""),"ИО 102-26 исп.100 ПАШК.425119.057")</f>
        <v>ИО 102-26 исп.100 ПАШК.425119.057</v>
      </c>
      <c r="B1014" s="6" t="str">
        <f ca="1">IFERROR(__xludf.DUMMYFUNCTION("""COMPUTED_VALUE"""),"Датчик из алюминия,для установки на металл, НР, раст. сраб. 30 мм , Uкомут. – 0,02-72 В, Iкоммут. -0.01-0.5 А, Pкоммут. не более 10 Вт,IP 68 , вывод 1000мм, двойная изоляция. Покрытие корпусов вандалоустойчивыми красками: Антик, Антик серебряный, порошков"&amp;"ые - +150 руб., покрытие простыми красками - + 100руб.")</f>
        <v>Датчик из алюминия,для установки на металл, НР, раст. сраб. 30 мм , Uкомут. – 0,02-72 В, Iкоммут. -0.01-0.5 А, Pкоммут. не более 10 Вт,IP 68 , вывод 1000мм, двойная изоляция. Покрытие корпусов вандалоустойчивыми красками: Антик, Антик серебряный, порошковые - +150 руб., покрытие простыми красками - + 100руб.</v>
      </c>
      <c r="C1014" s="9">
        <f ca="1">IFERROR(__xludf.DUMMYFUNCTION("""COMPUTED_VALUE"""),2970)</f>
        <v>2970</v>
      </c>
      <c r="D1014" s="6"/>
      <c r="E1014" s="8"/>
    </row>
    <row r="1015" spans="1:5" ht="114.75">
      <c r="A1015" s="5" t="str">
        <f ca="1">IFERROR(__xludf.DUMMYFUNCTION("""COMPUTED_VALUE"""),"ИО 102-26 исп.102 ПАШК.425119.057")</f>
        <v>ИО 102-26 исп.102 ПАШК.425119.057</v>
      </c>
      <c r="B1015" s="6" t="str">
        <f ca="1">IFERROR(__xludf.DUMMYFUNCTION("""COMPUTED_VALUE"""),"Датчик из алюминия,для установки на металл, Переключающий, раст. сраб. 24 мм , Uкомут. – 0,02-72 В, Iкоммут. -0.01-0.5 А, Pкоммут. не более 10 Вт. IP 68 , вывод 1000 мм, двойная изоляция. Покрытие корпусов вандалоустойчивыми красками: Антик, Антик серебря"&amp;"ный,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 вывод 1000 мм, двойная изоляция. Покрытие корпусов вандалоустойчивыми красками: Антик, Антик серебряный, порошковые - +150 руб., покрытие простыми красками - + 100руб.</v>
      </c>
      <c r="C1015" s="9">
        <f ca="1">IFERROR(__xludf.DUMMYFUNCTION("""COMPUTED_VALUE"""),4180)</f>
        <v>4180</v>
      </c>
      <c r="D1015" s="6"/>
      <c r="E1015" s="8"/>
    </row>
    <row r="1016" spans="1:5" ht="114.75">
      <c r="A1016" s="5" t="str">
        <f ca="1">IFERROR(__xludf.DUMMYFUNCTION("""COMPUTED_VALUE"""),"ИО 102-26 исп.104 металлорукав из оцинкованной стали ПАШК.425119.057")</f>
        <v>ИО 102-26 исп.104 металлорукав из оцинкованной стали ПАШК.425119.057</v>
      </c>
      <c r="B1016" s="6" t="str">
        <f ca="1">IFERROR(__xludf.DUMMYFUNCTION("""COMPUTED_VALUE"""),"Датчик из алюминия,для установки на металл, НР, раст. сраб. 30 мм , Uкомут. – 0,02-72 В, Iкоммут. -0.01-0.5 А, Pкоммут. не более 10 Вт. IP 68, оцинкованный металлорукав 1000мм. Покрытие корпусов вандалоустойчивыми красками: Антик, Антик серебряный, порошк"&amp;"овые - +150 руб., покрытие простыми красками - + 100руб.")</f>
        <v>Датчик из алюминия,для установки на металл, НР, раст. сраб. 30 мм , Uкомут. – 0,02-72 В, Iкоммут. -0.01-0.5 А, Pкоммут. не более 10 Вт. IP 68, оцинкованный металлорукав 1000мм. Покрытие корпусов вандалоустойчивыми красками: Антик, Антик серебряный, порошковые - +150 руб., покрытие простыми красками - + 100руб.</v>
      </c>
      <c r="C1016" s="9">
        <f ca="1">IFERROR(__xludf.DUMMYFUNCTION("""COMPUTED_VALUE"""),3327.5)</f>
        <v>3327.5</v>
      </c>
      <c r="D1016" s="6"/>
      <c r="E1016" s="8"/>
    </row>
    <row r="1017" spans="1:5" ht="114.75">
      <c r="A1017" s="5" t="str">
        <f ca="1">IFERROR(__xludf.DUMMYFUNCTION("""COMPUTED_VALUE"""),"ИО 102-26 исп.104 металлорукав из нержавеющей стали ПАШК.425119.057")</f>
        <v>ИО 102-26 исп.104 металлорукав из нержавеющей стали ПАШК.425119.057</v>
      </c>
      <c r="B1017" s="6" t="str">
        <f ca="1">IFERROR(__xludf.DUMMYFUNCTION("""COMPUTED_VALUE"""),"Датчик из алюминия,для установки на металл, НР, раст. сраб. 30 мм , Uкомут. – 0,02-72 В, Iкоммут. -0.01-0.5 А, Pкоммут. не более 10 Вт. IP 68, металлорукав из нержавеющей стали 1000мм. Покрытие корпусов вандалоустойчивыми красками: Антик, Антик серебряный"&amp;", порошковые - +150 руб., покрытие простыми красками - + 100руб.")</f>
        <v>Датчик из алюминия,для установки на металл, НР, раст. сраб. 30 мм , Uкомут. – 0,02-72 В, Iкоммут. -0.01-0.5 А, Pкоммут. не более 10 Вт. IP 68, металлорукав из нержавеющей стали 1000мм. Покрытие корпусов вандалоустойчивыми красками: Антик, Антик серебряный, порошковые - +150 руб., покрытие простыми красками - + 100руб.</v>
      </c>
      <c r="C1017" s="9">
        <f ca="1">IFERROR(__xludf.DUMMYFUNCTION("""COMPUTED_VALUE"""),3602.5)</f>
        <v>3602.5</v>
      </c>
      <c r="D1017" s="6"/>
      <c r="E1017" s="8"/>
    </row>
    <row r="1018" spans="1:5" ht="114.75">
      <c r="A1018" s="12" t="str">
        <f ca="1">IFERROR(__xludf.DUMMYFUNCTION("""COMPUTED_VALUE"""),"ИО 102-26 исп.105 металлорукав из оцинкованной стали ПАШК.425119.057")</f>
        <v>ИО 102-26 исп.105 металлорукав из оцинкованной стали ПАШК.425119.057</v>
      </c>
      <c r="B1018" s="13" t="str">
        <f ca="1">IFERROR(__xludf.DUMMYFUNCTION("""COMPUTED_VALUE"""),"Датчик из алюминия,для установки на металл, переключающий, раст. сраб. 24 мм , Uкомут. – 0,02-72 В, Iкоммут. -0.01-0.5 А, Pкоммут. не более 10 Вт. IP 68, оцинкованный металлорукав 1000 мм. Покрытие корпусов вандалоустойчивыми красками: Антик, Антик серебр"&amp;"яный,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оцинкованный металлорукав 1000 мм. Покрытие корпусов вандалоустойчивыми красками: Антик, Антик серебряный, порошковые - +150 руб., покрытие простыми красками - + 100руб.</v>
      </c>
      <c r="C1018" s="14">
        <f ca="1">IFERROR(__xludf.DUMMYFUNCTION("""COMPUTED_VALUE"""),4524.3)</f>
        <v>4524.3</v>
      </c>
      <c r="D1018" s="13"/>
    </row>
    <row r="1019" spans="1:5" ht="127.5">
      <c r="A1019" s="12" t="str">
        <f ca="1">IFERROR(__xludf.DUMMYFUNCTION("""COMPUTED_VALUE"""),"ИО 102-26 исп.105 металлорукав из нержавеющей стали ПАШК.425119.057")</f>
        <v>ИО 102-26 исп.105 металлорукав из нержавеющей стали ПАШК.425119.057</v>
      </c>
      <c r="B1019" s="13" t="str">
        <f ca="1">IFERROR(__xludf.DUMMYFUNCTION("""COMPUTED_VALUE"""),"Датчик из алюминия,для установки на металл, переключающий, раст. сраб. 24 мм , Uкомут. – 0,02-72 В, Iкоммут. -0.01-0.5 А, Pкоммут. не более 10 Вт. IP 68, металлорукав из нержавеющей стали 1000 мм. Покрытие корпусов вандалоустойчивыми красками: Антик, Анти"&amp;"к серебряный,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металлорукав из нержавеющей стали 1000 мм. Покрытие корпусов вандалоустойчивыми красками: Антик, Антик серебряный, порошковые - +150 руб., покрытие простыми красками - + 100руб.</v>
      </c>
      <c r="C1019" s="14">
        <f ca="1">IFERROR(__xludf.DUMMYFUNCTION("""COMPUTED_VALUE"""),4840)</f>
        <v>4840</v>
      </c>
      <c r="D1019" s="13"/>
    </row>
    <row r="1020" spans="1:5" ht="127.5">
      <c r="A1020" s="12" t="str">
        <f ca="1">IFERROR(__xludf.DUMMYFUNCTION("""COMPUTED_VALUE"""),"ИО 102-26 исп.105 КПСнг(А)-FRHF 2х2х0,2*1000 металлорукав из оцинкованной стали ПАШК.425119.057")</f>
        <v>ИО 102-26 исп.105 КПСнг(А)-FRHF 2х2х0,2*1000 металлорукав из оцинкованной стали ПАШК.425119.057</v>
      </c>
      <c r="B1020" s="13" t="str">
        <f ca="1">IFERROR(__xludf.DUMMYFUNCTION("""COMPUTED_VALUE"""),"Датчик из алюминия,для установки на металл, переключающий, раст. сраб. 24 мм , Uкомут. – 0,02-72 В, Iкоммут. -0.01-0.5 А, Pкоммут. не более 10 Вт. IP 68, вывод КПСнг(А)-FRHF 2х2х0,2*1000 оцинкованный м/р. Покрытие корпусов вандалоустойчивыми красками: Ант"&amp;"ик, Антик серебряный,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вывод КПСнг(А)-FRHF 2х2х0,2*1000 оцинкованный м/р. Покрытие корпусов вандалоустойчивыми красками: Антик, Антик серебряный, порошковые - +150 руб., покрытие простыми красками - + 100руб.</v>
      </c>
      <c r="C1020" s="14">
        <f ca="1">IFERROR(__xludf.DUMMYFUNCTION("""COMPUTED_VALUE"""),5214)</f>
        <v>5214</v>
      </c>
      <c r="D1020" s="13"/>
    </row>
    <row r="1021" spans="1:5" ht="127.5">
      <c r="A1021" s="12" t="str">
        <f ca="1">IFERROR(__xludf.DUMMYFUNCTION("""COMPUTED_VALUE"""),"ИО 102-26 исп.105 КПСнг(А)-FRHF 2х2х0,2*1000 металлорукав из нержавеющей стали ПАШК.425119.057")</f>
        <v>ИО 102-26 исп.105 КПСнг(А)-FRHF 2х2х0,2*1000 металлорукав из нержавеющей стали ПАШК.425119.057</v>
      </c>
      <c r="B1021" s="13" t="str">
        <f ca="1">IFERROR(__xludf.DUMMYFUNCTION("""COMPUTED_VALUE"""),"Датчик из алюминия,для установки на металл, переключающий, раст. сраб. 24 мм , Uкомут. – 0,02-72 В, Iкоммут. -0.01-0.5 А, Pкоммут. не более 10 Вт. IP 68, вывод КПСнг(А)-FRHF 2х2х0,2*1000 м/р из нержавеющей стали. Покрытие корпусов вандалоустойчивыми краск"&amp;"ами: Антик, Антик серебряный,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вывод КПСнг(А)-FRHF 2х2х0,2*1000 м/р из нержавеющей стали. Покрытие корпусов вандалоустойчивыми красками: Антик, Антик серебряный, порошковые - +150 руб., покрытие простыми красками - + 100руб.</v>
      </c>
      <c r="C1021" s="14">
        <f ca="1">IFERROR(__xludf.DUMMYFUNCTION("""COMPUTED_VALUE"""),5720)</f>
        <v>5720</v>
      </c>
      <c r="D1021" s="13"/>
    </row>
    <row r="1022" spans="1:5" ht="63.75">
      <c r="A1022" s="12" t="str">
        <f ca="1">IFERROR(__xludf.DUMMYFUNCTION("""COMPUTED_VALUE"""),"ИО 102-26 исп.200 ПАШК.425119.066")</f>
        <v>ИО 102-26 исп.200 ПАШК.425119.066</v>
      </c>
      <c r="B1022" s="13" t="str">
        <f ca="1">IFERROR(__xludf.DUMMYFUNCTION("""COMPUTED_VALUE"""),"Датчик из НЕРЖАВЕЙКИ,для установки на металл, НР, раст. сраб. 70 мм , Uкомут. – 0,02-72 В, Iкоммут. -0.01-0.5 А, Pкоммут. не более 10 Вт,IP 68, провод 1000мм, двойная изоляция. ")</f>
        <v xml:space="preserve">Датчик из НЕРЖАВЕЙКИ,для установки на металл, НР, раст. сраб. 70 мм , Uкомут. – 0,02-72 В, Iкоммут. -0.01-0.5 А, Pкоммут. не более 10 Вт,IP 68, провод 1000мм, двойная изоляция. </v>
      </c>
      <c r="C1022" s="14">
        <f ca="1">IFERROR(__xludf.DUMMYFUNCTION("""COMPUTED_VALUE"""),8712.1125)</f>
        <v>8712.1124999999993</v>
      </c>
      <c r="D1022" s="13"/>
    </row>
    <row r="1023" spans="1:5" ht="63.75">
      <c r="A1023" s="12" t="str">
        <f ca="1">IFERROR(__xludf.DUMMYFUNCTION("""COMPUTED_VALUE"""),"ИО 102-26 исп.202 ПАШК.425119.066")</f>
        <v>ИО 102-26 исп.202 ПАШК.425119.066</v>
      </c>
      <c r="B1023" s="13" t="str">
        <f ca="1">IFERROR(__xludf.DUMMYFUNCTION("""COMPUTED_VALUE"""),"Датчик из НЕРЖАВЕЙКИ,для установки на металл, Переключающий, раст. сраб. 70 мм , Uкомут. – 0,02-72 В, Iкоммут. -0.01-0.5 А, Pкоммут. не более 10 Вт. IP 68 , провод 1000 мм, двойная изоляция. ")</f>
        <v xml:space="preserve">Датчик из НЕРЖАВЕЙКИ,для установки на металл, Переключающий, раст. сраб. 70 мм , Uкомут. – 0,02-72 В, Iкоммут. -0.01-0.5 А, Pкоммут. не более 10 Вт. IP 68 , провод 1000 мм, двойная изоляция. </v>
      </c>
      <c r="C1023" s="14">
        <f ca="1">IFERROR(__xludf.DUMMYFUNCTION("""COMPUTED_VALUE"""),9754.185)</f>
        <v>9754.1849999999995</v>
      </c>
      <c r="D1023" s="13"/>
    </row>
    <row r="1024" spans="1:5" ht="63.75">
      <c r="A1024" s="12" t="str">
        <f ca="1">IFERROR(__xludf.DUMMYFUNCTION("""COMPUTED_VALUE"""),"ИО 102-26 исп.204 ПАШК.425119.066")</f>
        <v>ИО 102-26 исп.204 ПАШК.425119.066</v>
      </c>
      <c r="B1024" s="13" t="str">
        <f ca="1">IFERROR(__xludf.DUMMYFUNCTION("""COMPUTED_VALUE"""),"Датчик из НЕРЖАВЕЙКИ,для установки на металл, НР, раст. сраб. 70 мм , Uкомут. – 0,02-72 В, Iкоммут. -0.01-0.5 А, Pкоммут. не более 10 Вт. IP 68, металлорукав из нержавеющей стали, 1000 мм. ")</f>
        <v xml:space="preserve">Датчик из НЕРЖАВЕЙКИ,для установки на металл, НР, раст. сраб. 70 мм , Uкомут. – 0,02-72 В, Iкоммут. -0.01-0.5 А, Pкоммут. не более 10 Вт. IP 68, металлорукав из нержавеющей стали, 1000 мм. </v>
      </c>
      <c r="C1024" s="14">
        <f ca="1">IFERROR(__xludf.DUMMYFUNCTION("""COMPUTED_VALUE"""),9262.03215)</f>
        <v>9262.0321499999991</v>
      </c>
      <c r="D1024" s="13"/>
    </row>
    <row r="1025" spans="1:4" ht="76.5">
      <c r="A1025" s="12" t="str">
        <f ca="1">IFERROR(__xludf.DUMMYFUNCTION("""COMPUTED_VALUE"""),"ИО 102-26 исп.205 ПАШК.425119.066")</f>
        <v>ИО 102-26 исп.205 ПАШК.425119.066</v>
      </c>
      <c r="B1025" s="13" t="str">
        <f ca="1">IFERROR(__xludf.DUMMYFUNCTION("""COMPUTED_VALUE"""),"Датчик из НЕРЖАВЕЙКИ,для установки на металл, переключающий, раст. сраб. 70 мм , Uкомут. – 0,02-72 В, Iкоммут. -0.01-0.5 А, Pкоммут. не более 10 Вт. IP 68, металлорукав из нержавеющей стали, 1000мм. ")</f>
        <v xml:space="preserve">Датчик из НЕРЖАВЕЙКИ,для установки на металл, переключающий, раст. сраб. 70 мм , Uкомут. – 0,02-72 В, Iкоммут. -0.01-0.5 А, Pкоммут. не более 10 Вт. IP 68, металлорукав из нержавеющей стали, 1000мм. </v>
      </c>
      <c r="C1025" s="14">
        <f ca="1">IFERROR(__xludf.DUMMYFUNCTION("""COMPUTED_VALUE"""),10410)</f>
        <v>10410</v>
      </c>
      <c r="D1025" s="13"/>
    </row>
    <row r="1026" spans="1:4" ht="51">
      <c r="A1026" s="12" t="str">
        <f ca="1">IFERROR(__xludf.DUMMYFUNCTION("""COMPUTED_VALUE"""),"Кронштейн К-05")</f>
        <v>Кронштейн К-05</v>
      </c>
      <c r="B1026" s="13" t="str">
        <f ca="1">IFERROR(__xludf.DUMMYFUNCTION("""COMPUTED_VALUE"""),"предназначен для монтажа блока датчика ИО 102-26 исп.250 и ИО 102-26 исп.251 к подвижным поверхностям охраняемых конструкций")</f>
        <v>предназначен для монтажа блока датчика ИО 102-26 исп.250 и ИО 102-26 исп.251 к подвижным поверхностям охраняемых конструкций</v>
      </c>
      <c r="C1026" s="14">
        <f ca="1">IFERROR(__xludf.DUMMYFUNCTION("""COMPUTED_VALUE"""),1663.475)</f>
        <v>1663.4749999999999</v>
      </c>
      <c r="D1026" s="13"/>
    </row>
    <row r="1027" spans="1:4" ht="38.25">
      <c r="A1027" s="12" t="str">
        <f ca="1">IFERROR(__xludf.DUMMYFUNCTION("""COMPUTED_VALUE"""),"ИО 102-26 исп.250 ""Нержавейка-100"" ПАШК.425119.064")</f>
        <v>ИО 102-26 исп.250 "Нержавейка-100" ПАШК.425119.064</v>
      </c>
      <c r="B1027" s="13" t="str">
        <f ca="1">IFERROR(__xludf.DUMMYFUNCTION("""COMPUTED_VALUE"""),"Корпус-НЕРЖАВЕЙКА, НР, на металл. IP 68, раст.сраб 100 мм, вывод в двойной изоляции 1000 мм. ")</f>
        <v xml:space="preserve">Корпус-НЕРЖАВЕЙКА, НР, на металл. IP 68, раст.сраб 100 мм, вывод в двойной изоляции 1000 мм. </v>
      </c>
      <c r="C1027" s="14">
        <f ca="1">IFERROR(__xludf.DUMMYFUNCTION("""COMPUTED_VALUE"""),15283.5)</f>
        <v>15283.5</v>
      </c>
      <c r="D1027" s="13"/>
    </row>
    <row r="1028" spans="1:4" ht="38.25">
      <c r="A1028" s="12" t="str">
        <f ca="1">IFERROR(__xludf.DUMMYFUNCTION("""COMPUTED_VALUE"""),"ИО 102-26 исп.250 ""Нержавейка-40"" ПАШК.425119.064")</f>
        <v>ИО 102-26 исп.250 "Нержавейка-40" ПАШК.425119.064</v>
      </c>
      <c r="B1028" s="13" t="str">
        <f ca="1">IFERROR(__xludf.DUMMYFUNCTION("""COMPUTED_VALUE"""),"Корпус-НЕРЖАВЕЙКА, НР, на металл . IP 68, раст.сраб 40 мм, вывод в двойной изоляции 1000 мм. ")</f>
        <v xml:space="preserve">Корпус-НЕРЖАВЕЙКА, НР, на металл . IP 68, раст.сраб 40 мм, вывод в двойной изоляции 1000 мм. </v>
      </c>
      <c r="C1028" s="14">
        <f ca="1">IFERROR(__xludf.DUMMYFUNCTION("""COMPUTED_VALUE"""),12736.25)</f>
        <v>12736.25</v>
      </c>
      <c r="D1028" s="13"/>
    </row>
    <row r="1029" spans="1:4" ht="38.25">
      <c r="A1029" s="12" t="str">
        <f ca="1">IFERROR(__xludf.DUMMYFUNCTION("""COMPUTED_VALUE"""),"ИО 102-26 исп.251 ""Нержавейка-100"" ПАШК.425119.064")</f>
        <v>ИО 102-26 исп.251 "Нержавейка-100" ПАШК.425119.064</v>
      </c>
      <c r="B1029" s="13" t="str">
        <f ca="1">IFERROR(__xludf.DUMMYFUNCTION("""COMPUTED_VALUE"""),"Корпус-НЕРЖАВЕЙКА, НР, на металл. IP 68, раст.сраб 100 мм, вывод 1000 мм, металлорукав из нержавеющей стали. ")</f>
        <v xml:space="preserve">Корпус-НЕРЖАВЕЙКА, НР, на металл. IP 68, раст.сраб 100 мм, вывод 1000 мм, металлорукав из нержавеющей стали. </v>
      </c>
      <c r="C1029" s="14">
        <f ca="1">IFERROR(__xludf.DUMMYFUNCTION("""COMPUTED_VALUE"""),16805)</f>
        <v>16805</v>
      </c>
      <c r="D1029" s="13"/>
    </row>
    <row r="1030" spans="1:4" ht="76.5">
      <c r="A1030" s="12" t="str">
        <f ca="1">IFERROR(__xludf.DUMMYFUNCTION("""COMPUTED_VALUE"""),"ИО 102-43 ""Нержавейка"" исп.00 ПАШК.425119.069")</f>
        <v>ИО 102-43 "Нержавейка" исп.00 ПАШК.425119.069</v>
      </c>
      <c r="B1030" s="13" t="str">
        <f ca="1">IFERROR(__xludf.DUMMYFUNCTION("""COMPUTED_VALUE"""),"Корпус-Нержавейка. Норм.разомкнутый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f>
        <v>Корпус-Нержавейка. Норм.разомкнутый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v>
      </c>
      <c r="C1030" s="14">
        <f ca="1">IFERROR(__xludf.DUMMYFUNCTION("""COMPUTED_VALUE"""),831.1853)</f>
        <v>831.18529999999998</v>
      </c>
      <c r="D1030" s="13"/>
    </row>
    <row r="1031" spans="1:4" ht="76.5">
      <c r="A1031" s="12" t="str">
        <f ca="1">IFERROR(__xludf.DUMMYFUNCTION("""COMPUTED_VALUE"""),"ИО 102-43 ""Нержавейка"" исп.01 ПАШК.425119.069")</f>
        <v>ИО 102-43 "Нержавейка" исп.01 ПАШК.425119.069</v>
      </c>
      <c r="B1031" s="13" t="str">
        <f ca="1">IFERROR(__xludf.DUMMYFUNCTION("""COMPUTED_VALUE"""),"Корпус-Нержавейка. Переключающий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f>
        <v>Корпус-Нержавейка. Переключающий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v>
      </c>
      <c r="C1031" s="14">
        <f ca="1">IFERROR(__xludf.DUMMYFUNCTION("""COMPUTED_VALUE"""),1683.3036)</f>
        <v>1683.3036</v>
      </c>
      <c r="D1031" s="13"/>
    </row>
    <row r="1032" spans="1:4" ht="153">
      <c r="A1032" s="12" t="str">
        <f ca="1">IFERROR(__xludf.DUMMYFUNCTION("""COMPUTED_VALUE"""),"ИО 102-43 ""Нержавейка"" исп.02 ПАШК.425119.069")</f>
        <v>ИО 102-43 "Нержавейка" исп.02 ПАШК.425119.069</v>
      </c>
      <c r="B1032" s="13" t="str">
        <f ca="1">IFERROR(__xludf.DUMMYFUNCTION("""COMPUTED_VALUE"""),"Врезной на металл, НР геркон, контакты извещателя должны быть в переключенном состоянии при расположении магнита и датчика: на металлической магнитоактивной поверхности на расстоянии 7 мм и менее, и в разомкнутом на расстоянии 10 мм и более; Покрытие корп"&amp;"усов вандалоустойчивыми красками: Антик, Антик серебряный, порошковые - +150 руб., покрытие простыми красками - + 100руб.")</f>
        <v>Врезной на металл, НР геркон, контакты извещателя должны быть в переключенном состоянии при расположении магнита и датчика: на металлической магнитоактивной поверхности на расстоянии 7 мм и менее, и в разомкнутом на расстоянии 10 мм и более; Покрытие корпусов вандалоустойчивыми красками: Антик, Антик серебряный, порошковые - +150 руб., покрытие простыми красками - + 100руб.</v>
      </c>
      <c r="C1032" s="14">
        <f ca="1">IFERROR(__xludf.DUMMYFUNCTION("""COMPUTED_VALUE"""),1408.198)</f>
        <v>1408.1980000000001</v>
      </c>
      <c r="D1032" s="13"/>
    </row>
    <row r="1033" spans="1:4" ht="76.5">
      <c r="A1033" s="12" t="str">
        <f ca="1">IFERROR(__xludf.DUMMYFUNCTION("""COMPUTED_VALUE"""),"ИО 102-43 ""Нержавейка"" Врезн/Накл (магнит М200) ПАШК.425119.069")</f>
        <v>ИО 102-43 "Нержавейка" Врезн/Накл (магнит М200) ПАШК.425119.069</v>
      </c>
      <c r="B1033" s="13" t="str">
        <f ca="1">IFERROR(__xludf.DUMMYFUNCTION("""COMPUTED_VALUE"""),"Блок геркона (датчик) врезной на металл, со скрытым выводом 400мм, блок магнита - накладной. НР, контакты замкнуты на расстоянии 20мм и менее,  разомкнуты на расстоянии 30мм и более.")</f>
        <v>Блок геркона (датчик) врезной на металл, со скрытым выводом 400мм, блок магнита - накладной. НР, контакты замкнуты на расстоянии 20мм и менее,  разомкнуты на расстоянии 30мм и более.</v>
      </c>
      <c r="C1033" s="14">
        <f ca="1">IFERROR(__xludf.DUMMYFUNCTION("""COMPUTED_VALUE"""),1004.9534)</f>
        <v>1004.9534</v>
      </c>
      <c r="D1033" s="13"/>
    </row>
    <row r="1034" spans="1:4" ht="76.5">
      <c r="A1034" s="12" t="str">
        <f ca="1">IFERROR(__xludf.DUMMYFUNCTION("""COMPUTED_VALUE"""),"Кронштейн К-43 для монтажа извещателей охранных ИО 102-43 АТФЕ.687434.185 ТУ")</f>
        <v>Кронштейн К-43 для монтажа извещателей охранных ИО 102-43 АТФЕ.687434.185 ТУ</v>
      </c>
      <c r="B1034" s="13" t="str">
        <f ca="1">IFERROR(__xludf.DUMMYFUNCTION("""COMPUTED_VALUE"""),"для изменения положения при монтаже блока магнита или блока датчика извещателей ИО 102-43.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извещателей ИО 102-43. Позволяет изменить положение одного из блоков на 90 град. Нержавеющая сталь толщиной 1,5 мм</v>
      </c>
      <c r="C1034" s="14">
        <f ca="1">IFERROR(__xludf.DUMMYFUNCTION("""COMPUTED_VALUE"""),449.878)</f>
        <v>449.87799999999999</v>
      </c>
      <c r="D1034" s="13"/>
    </row>
    <row r="1035" spans="1:4" ht="63.75">
      <c r="A1035" s="12" t="str">
        <f ca="1">IFERROR(__xludf.DUMMYFUNCTION("""COMPUTED_VALUE"""),"КР-43 Нержавейка")</f>
        <v>КР-43 Нержавейка</v>
      </c>
      <c r="B1035"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035" s="14">
        <f ca="1">IFERROR(__xludf.DUMMYFUNCTION("""COMPUTED_VALUE"""),600)</f>
        <v>600</v>
      </c>
      <c r="D1035" s="13"/>
    </row>
    <row r="1036" spans="1:4" ht="25.5">
      <c r="A1036" s="12" t="str">
        <f ca="1">IFERROR(__xludf.DUMMYFUNCTION("""COMPUTED_VALUE"""),"ИО 102-28 ПАШК.425119.011")</f>
        <v>ИО 102-28 ПАШК.425119.011</v>
      </c>
      <c r="B1036" s="13" t="str">
        <f ca="1">IFERROR(__xludf.DUMMYFUNCTION("""COMPUTED_VALUE"""),"Датчик с металлической пластиной в зазор (для жалюзи)")</f>
        <v>Датчик с металлической пластиной в зазор (для жалюзи)</v>
      </c>
      <c r="C1036" s="14">
        <f ca="1">IFERROR(__xludf.DUMMYFUNCTION("""COMPUTED_VALUE"""),448.2445)</f>
        <v>448.24450000000002</v>
      </c>
      <c r="D1036" s="13"/>
    </row>
    <row r="1037" spans="1:4" ht="25.5">
      <c r="A1037" s="12" t="str">
        <f ca="1">IFERROR(__xludf.DUMMYFUNCTION("""COMPUTED_VALUE"""),"ИО 102-30 «БУЛЬДОГ» ПАШК.425119.012")</f>
        <v>ИО 102-30 «БУЛЬДОГ» ПАШК.425119.012</v>
      </c>
      <c r="B1037" s="13" t="str">
        <f ca="1">IFERROR(__xludf.DUMMYFUNCTION("""COMPUTED_VALUE"""),"Датчик на металл переключ. однопозиционный")</f>
        <v>Датчик на металл переключ. однопозиционный</v>
      </c>
      <c r="C1037" s="14">
        <f ca="1">IFERROR(__xludf.DUMMYFUNCTION("""COMPUTED_VALUE"""),1957.3807)</f>
        <v>1957.3806999999999</v>
      </c>
      <c r="D1037" s="13"/>
    </row>
    <row r="1038" spans="1:4" ht="89.25">
      <c r="A1038" s="12" t="str">
        <f ca="1">IFERROR(__xludf.DUMMYFUNCTION("""COMPUTED_VALUE"""),"ИО 102 ""СМК"" исп.00 2 НР ПАШК.425119.139")</f>
        <v>ИО 102 "СМК" исп.00 2 НР ПАШК.425119.139</v>
      </c>
      <c r="B1038" s="13" t="str">
        <f ca="1">IFERROR(__xludf.DUMMYFUNCTION("""COMPUTED_VALUE"""),"2 геркона НР контакты, 4 выходных контакта, Выведенный из корпуса исполнительного блока сигнальный кабель 4х0,22 длиной 350±20 мм, имеющий двойную изоляцию, наличие разъемов разъем Molex (2шт) 351840200 по согласованию с потребителем")</f>
        <v>2 геркона НР контакты, 4 выходных контакта, Выведенный из корпуса исполнительного блока сигнальный кабель 4х0,22 длиной 350±20 мм, имеющий двойную изоляцию, наличие разъемов разъем Molex (2шт) 351840200 по согласованию с потребителем</v>
      </c>
      <c r="C1038" s="14">
        <f ca="1">IFERROR(__xludf.DUMMYFUNCTION("""COMPUTED_VALUE"""),1158.3)</f>
        <v>1158.3</v>
      </c>
      <c r="D1038" s="13"/>
    </row>
    <row r="1039" spans="1:4" ht="89.25">
      <c r="A1039" s="12" t="str">
        <f ca="1">IFERROR(__xludf.DUMMYFUNCTION("""COMPUTED_VALUE"""),"ИО 102 ""СМК"" исп.00 ПАШК.425119.139")</f>
        <v>ИО 102 "СМК" исп.00 ПАШК.425119.139</v>
      </c>
      <c r="B1039" s="13" t="str">
        <f ca="1">IFERROR(__xludf.DUMMYFUNCTION("""COMPUTED_VALUE"""),"НР геркон, 2 выходных контакта. Выведенный из корпуса исполнительного блока сигнальный кабель 2х0,22 длиной 350±20 мм, наличие разъемов разъем Molex (1шт) 351840200 по согласованию с потребителем")</f>
        <v>НР геркон, 2 выходных контакта. Выведенный из корпуса исполнительного блока сигнальный кабель 2х0,22 длиной 350±20 мм, наличие разъемов разъем Molex (1шт) 351840200 по согласованию с потребителем</v>
      </c>
      <c r="C1039" s="14">
        <f ca="1">IFERROR(__xludf.DUMMYFUNCTION("""COMPUTED_VALUE"""),868.1508)</f>
        <v>868.1508</v>
      </c>
      <c r="D1039" s="13"/>
    </row>
    <row r="1040" spans="1:4" ht="102">
      <c r="A1040" s="12" t="str">
        <f ca="1">IFERROR(__xludf.DUMMYFUNCTION("""COMPUTED_VALUE"""),"ИО 102-«Люкс» (белый) IP 66 ПАШК.425119.080 ТУ")</f>
        <v>ИО 102-«Люкс» (белый) IP 66 ПАШК.425119.080 ТУ</v>
      </c>
      <c r="B1040" s="13" t="str">
        <f ca="1">IFERROR(__xludf.DUMMYFUNCTION("""COMPUTED_VALUE"""),"предназначен для установки на не магнитопроводных контролируемых поверхностях (дерево, пластик и т.д.)
  контакты находятся в замкнутом состоянии при расположении магнита и датчика на расстоянии 10 мм и менее, и в нормальном состоянии на расстоянии 15 мм "&amp;"и более")</f>
        <v>предназначен для установки на не магнитопроводных контролируемых поверхностях (дерево, пластик и т.д.)
  контакты находятся в замкнутом состоянии при расположении магнита и датчика на расстоянии 10 мм и менее, и в нормальном состоянии на расстоянии 15 мм и более</v>
      </c>
      <c r="C1040" s="14">
        <f ca="1">IFERROR(__xludf.DUMMYFUNCTION("""COMPUTED_VALUE"""),594)</f>
        <v>594</v>
      </c>
      <c r="D1040" s="13"/>
    </row>
    <row r="1041" spans="1:4" ht="102">
      <c r="A1041" s="12" t="str">
        <f ca="1">IFERROR(__xludf.DUMMYFUNCTION("""COMPUTED_VALUE"""),"ИО 102- «Люкс» переключающий (белый) IP 66 ПАШК.425119.080 ТУ")</f>
        <v>ИО 102- «Люкс» переключающий (белый) IP 66 ПАШК.425119.080 ТУ</v>
      </c>
      <c r="B1041" s="13" t="str">
        <f ca="1">IFERROR(__xludf.DUMMYFUNCTION("""COMPUTED_VALUE"""),"предназначен для установки на не магнитопроводных контролируемых поверхностях (дерево, пластик и т.д.), контакты находятся в переключенном состоянии при расположении магнита и датчика на расстоянии 10 мм и менее, и в нормальном состоянии на расстоянии 15 "&amp;"мм и более")</f>
        <v>предназначен для установки на не магнитопроводных контролируемых поверхностях (дерево, пластик и т.д.), контакты находятся в переключенном состоянии при расположении магнита и датчика на расстоянии 10 мм и менее, и в нормальном состоянии на расстоянии 15 мм и более</v>
      </c>
      <c r="C1041" s="14">
        <f ca="1">IFERROR(__xludf.DUMMYFUNCTION("""COMPUTED_VALUE"""),1978.5073)</f>
        <v>1978.5073</v>
      </c>
      <c r="D1041" s="13"/>
    </row>
    <row r="1042" spans="1:4" ht="114.75">
      <c r="A1042" s="12" t="str">
        <f ca="1">IFERROR(__xludf.DUMMYFUNCTION("""COMPUTED_VALUE"""),"ИО 102- «Люкс»-сейф (белый) IP 66 ПАШК.425119.080 ТУ")</f>
        <v>ИО 102- «Люкс»-сейф (белый) IP 66 ПАШК.425119.080 ТУ</v>
      </c>
      <c r="B1042" s="13" t="str">
        <f ca="1">IFERROR(__xludf.DUMMYFUNCTION("""COMPUTED_VALUE"""),"предназначен для установки на любых поверхностях, в т.ч.магнитопроводных (сейфы, стальные ворота и двери, конструкции окон и т. д.), контакты находятся в замкнутом состоянии при расположении магнита и датчика на расстоянии 10 мм и менее, и в нормальном со"&amp;"стоянии на расстоянии 15 мм и более")</f>
        <v>предназначен для установки на любых поверхностях, в т.ч.магнитопроводных (сейфы, стальные ворота и двери, конструкции окон и т. д.), контакты находятся в замкнутом состоянии при расположении магнита и датчика на расстоянии 10 мм и менее, и в нормальном состоянии на расстоянии 15 мм и более</v>
      </c>
      <c r="C1042" s="14">
        <f ca="1">IFERROR(__xludf.DUMMYFUNCTION("""COMPUTED_VALUE"""),909.315)</f>
        <v>909.31500000000005</v>
      </c>
      <c r="D1042" s="13"/>
    </row>
    <row r="1043" spans="1:4" ht="114.75">
      <c r="A1043" s="12" t="str">
        <f ca="1">IFERROR(__xludf.DUMMYFUNCTION("""COMPUTED_VALUE"""),"ИО 102- «Люкс»-сейф переключающий (белый) IP 66 ПАШК.425119.080 ТУ")</f>
        <v>ИО 102- «Люкс»-сейф переключающий (белый) IP 66 ПАШК.425119.080 ТУ</v>
      </c>
      <c r="B1043" s="13" t="str">
        <f ca="1">IFERROR(__xludf.DUMMYFUNCTION("""COMPUTED_VALUE"""),"предназначен для установки на любых поверхностях, в т.ч.магнитопроводных (сейфы, стальные ворота и двери, конструкции окон и т. д.), контакты находятся в переключенном состоянии при расположении магнита и датчика на расстоянии 5 мм и менее, и в нормальном"&amp;" состоянии на расстоянии 15 мм и более")</f>
        <v>предназначен для установки на любых поверхностях, в т.ч.магнитопроводных (сейфы, стальные ворота и двери, конструкции окон и т. д.), контакты находятся в переключенном состоянии при расположении магнита и датчика на расстоянии 5 мм и менее, и в нормальном состоянии на расстоянии 15 мм и более</v>
      </c>
      <c r="C1043" s="14">
        <f ca="1">IFERROR(__xludf.DUMMYFUNCTION("""COMPUTED_VALUE"""),2192.3506)</f>
        <v>2192.3506000000002</v>
      </c>
      <c r="D1043" s="13"/>
    </row>
    <row r="1044" spans="1:4" ht="51">
      <c r="A1044" s="12" t="str">
        <f ca="1">IFERROR(__xludf.DUMMYFUNCTION("""COMPUTED_VALUE"""),"Проставка для ИО 102-29")</f>
        <v>Проставка для ИО 102-29</v>
      </c>
      <c r="B1044" s="13" t="str">
        <f ca="1">IFERROR(__xludf.DUMMYFUNCTION("""COMPUTED_VALUE"""),"Позволяет восстановить соосность магнита и датчика,  поднимает любой из блоков извещателя на 5 мм (набором — 10мм, 15 мм и т.д), пластик, вес 1.5 г.")</f>
        <v>Позволяет восстановить соосность магнита и датчика,  поднимает любой из блоков извещателя на 5 мм (набором — 10мм, 15 мм и т.д), пластик, вес 1.5 г.</v>
      </c>
      <c r="C1044" s="14">
        <f ca="1">IFERROR(__xludf.DUMMYFUNCTION("""COMPUTED_VALUE"""),18.26)</f>
        <v>18.260000000000002</v>
      </c>
      <c r="D1044" s="13"/>
    </row>
    <row r="1045" spans="1:4" ht="102">
      <c r="A1045" s="12" t="str">
        <f ca="1">IFERROR(__xludf.DUMMYFUNCTION("""COMPUTED_VALUE"""),"Кронштейн К-29")</f>
        <v>Кронштейн К-29</v>
      </c>
      <c r="B1045" s="13" t="str">
        <f ca="1">IFERROR(__xludf.DUMMYFUNCTION("""COMPUTED_VALUE"""),"Предназначен для изменения положения при монтаже блока магнита или блока датчика магнитоконтактных извещателей ИО 102-29 «Эстет», «Эстет-Сейф», ИО 102-29 «Эстет-Инвертор», «Эстет–Сейф-Инвертор» и ИО 102-«Люкс», ИО 102-«Люкс»-Сейф к поверхностям охраняемых"&amp;" конструкций. ")</f>
        <v xml:space="preserve">Предназначен для изменения положения при монтаже блока магнита или блока датчика магнитоконтактных извещателей ИО 102-29 «Эстет», «Эстет-Сейф», ИО 102-29 «Эстет-Инвертор», «Эстет–Сейф-Инвертор» и ИО 102-«Люкс», ИО 102-«Люкс»-Сейф к поверхностям охраняемых конструкций. </v>
      </c>
      <c r="C1045" s="14">
        <f ca="1">IFERROR(__xludf.DUMMYFUNCTION("""COMPUTED_VALUE"""),338.8)</f>
        <v>338.8</v>
      </c>
      <c r="D1045" s="13"/>
    </row>
    <row r="1046" spans="1:4" ht="63.75">
      <c r="A1046" s="12" t="str">
        <f ca="1">IFERROR(__xludf.DUMMYFUNCTION("""COMPUTED_VALUE"""),"КР-29 Эстет Нержавейка")</f>
        <v>КР-29 Эстет Нержавейка</v>
      </c>
      <c r="B1046"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046" s="14">
        <f ca="1">IFERROR(__xludf.DUMMYFUNCTION("""COMPUTED_VALUE"""),590)</f>
        <v>590</v>
      </c>
      <c r="D1046" s="13"/>
    </row>
    <row r="1047" spans="1:4" ht="38.25">
      <c r="A1047" s="12" t="str">
        <f ca="1">IFERROR(__xludf.DUMMYFUNCTION("""COMPUTED_VALUE"""),"ИО 102-29 «ЭСТЕТ» Основной цвет корпуса белый. По согласованию с заказчиком возможна поставка серо-металлического и черного цвета. НСТК.425119.015")</f>
        <v>ИО 102-29 «ЭСТЕТ» Основной цвет корпуса белый. По согласованию с заказчиком возможна поставка серо-металлического и черного цвета. НСТК.425119.015</v>
      </c>
      <c r="B1047" s="13" t="str">
        <f ca="1">IFERROR(__xludf.DUMMYFUNCTION("""COMPUTED_VALUE"""),"Магнитоконтактный, миниатюрный с крышкой и встроенной колодкой")</f>
        <v>Магнитоконтактный, миниатюрный с крышкой и встроенной колодкой</v>
      </c>
      <c r="C1047" s="14">
        <f ca="1">IFERROR(__xludf.DUMMYFUNCTION("""COMPUTED_VALUE"""),635.503)</f>
        <v>635.50300000000004</v>
      </c>
      <c r="D1047" s="13"/>
    </row>
    <row r="1048" spans="1:4" ht="38.25">
      <c r="A1048" s="12" t="str">
        <f ca="1">IFERROR(__xludf.DUMMYFUNCTION("""COMPUTED_VALUE"""),"ИО 102-29 ""ЭСТЕТ"" - уличный IP 66 Основной цвет корпуса белый. По согласованию с заказчиком возможна поставка серо-металлического и черного цвета. НСТК.425119.015")</f>
        <v>ИО 102-29 "ЭСТЕТ" - уличный IP 66 Основной цвет корпуса белый. По согласованию с заказчиком возможна поставка серо-металлического и черного цвета. НСТК.425119.015</v>
      </c>
      <c r="B1048" s="13" t="str">
        <f ca="1">IFERROR(__xludf.DUMMYFUNCTION("""COMPUTED_VALUE"""),"Залит компаундом, вывод 500 мм, до -50 °С, IP 66")</f>
        <v>Залит компаундом, вывод 500 мм, до -50 °С, IP 66</v>
      </c>
      <c r="C1048" s="14">
        <f ca="1">IFERROR(__xludf.DUMMYFUNCTION("""COMPUTED_VALUE"""),958.32)</f>
        <v>958.32</v>
      </c>
      <c r="D1048" s="13"/>
    </row>
    <row r="1049" spans="1:4" ht="51">
      <c r="A1049" s="12" t="str">
        <f ca="1">IFERROR(__xludf.DUMMYFUNCTION("""COMPUTED_VALUE"""),"ИО 102-29 «ЭСТЕТ-ИНВЕРТОР» Основной цвет корпуса белый. По согласованию с заказчиком возможна поставка серо-металлического и черного цвета. НСТК.425119.015")</f>
        <v>ИО 102-29 «ЭСТЕТ-ИНВЕРТОР» Основной цвет корпуса белый. По согласованию с заказчиком возможна поставка серо-металлического и черного цвета. НСТК.425119.015</v>
      </c>
      <c r="B1049" s="13" t="str">
        <f ca="1">IFERROR(__xludf.DUMMYFUNCTION("""COMPUTED_VALUE"""),"Магнитоконтатный, миниатюрный с крышкой и встроенной колодкой, при поднесении магнита ближе 10 мм- РАЗОМКНУТ")</f>
        <v>Магнитоконтатный, миниатюрный с крышкой и встроенной колодкой, при поднесении магнита ближе 10 мм- РАЗОМКНУТ</v>
      </c>
      <c r="C1049" s="14">
        <f ca="1">IFERROR(__xludf.DUMMYFUNCTION("""COMPUTED_VALUE"""),1690.7)</f>
        <v>1690.7</v>
      </c>
      <c r="D1049" s="13"/>
    </row>
    <row r="1050" spans="1:4" ht="51">
      <c r="A1050" s="12" t="str">
        <f ca="1">IFERROR(__xludf.DUMMYFUNCTION("""COMPUTED_VALUE"""),"ИО 102-29 «ЭСТЕТ-ИНВЕРТОР» уличный IP 66 Основной цвет корпуса белый. По согласованию с заказчиком возможна поставка серо-металлического и черного цвета. НСТК.425119.016")</f>
        <v>ИО 102-29 «ЭСТЕТ-ИНВЕРТОР» уличный IP 66 Основной цвет корпуса белый. По согласованию с заказчиком возможна поставка серо-металлического и черного цвета. НСТК.425119.016</v>
      </c>
      <c r="B1050" s="13" t="str">
        <f ca="1">IFERROR(__xludf.DUMMYFUNCTION("""COMPUTED_VALUE"""),"Залит компаундом, вывод 500 мм, до -50 °С, IP 66")</f>
        <v>Залит компаундом, вывод 500 мм, до -50 °С, IP 66</v>
      </c>
      <c r="C1050" s="14">
        <f ca="1">IFERROR(__xludf.DUMMYFUNCTION("""COMPUTED_VALUE"""),1966.8)</f>
        <v>1966.8</v>
      </c>
      <c r="D1050" s="13"/>
    </row>
    <row r="1051" spans="1:4" ht="38.25">
      <c r="A1051" s="12" t="str">
        <f ca="1">IFERROR(__xludf.DUMMYFUNCTION("""COMPUTED_VALUE"""),"ИО 102-29 «ЭСТЕТ-СЕЙФ» Основной цвет корпуса белый. По согласованию с заказчиком возможна поставка серо-металлического и черного цвета. НСТК.425119.015")</f>
        <v>ИО 102-29 «ЭСТЕТ-СЕЙФ» Основной цвет корпуса белый. По согласованию с заказчиком возможна поставка серо-металлического и черного цвета. НСТК.425119.015</v>
      </c>
      <c r="B1051" s="13" t="str">
        <f ca="1">IFERROR(__xludf.DUMMYFUNCTION("""COMPUTED_VALUE"""),"Магнитоконтактный на металлические поверхности миниатюрный с крышкой и встроенной колодкой")</f>
        <v>Магнитоконтактный на металлические поверхности миниатюрный с крышкой и встроенной колодкой</v>
      </c>
      <c r="C1051" s="14">
        <f ca="1">IFERROR(__xludf.DUMMYFUNCTION("""COMPUTED_VALUE"""),1016.8356)</f>
        <v>1016.8356</v>
      </c>
      <c r="D1051" s="13"/>
    </row>
    <row r="1052" spans="1:4" ht="51">
      <c r="A1052" s="12" t="str">
        <f ca="1">IFERROR(__xludf.DUMMYFUNCTION("""COMPUTED_VALUE"""),"ИО 102-29 «ЭСТЕТ-СЕЙФ» с ШВВП 2х0,75. НСТК.425119.015")</f>
        <v>ИО 102-29 «ЭСТЕТ-СЕЙФ» с ШВВП 2х0,75. НСТК.425119.015</v>
      </c>
      <c r="B1052" s="13" t="str">
        <f ca="1">IFERROR(__xludf.DUMMYFUNCTION("""COMPUTED_VALUE"""),"Магнитоконтактный на металлические поверхности миниатюрный с крышкой и встроенной колодкой,с выводом ШВВП 2х0,75 1м")</f>
        <v>Магнитоконтактный на металлические поверхности миниатюрный с крышкой и встроенной колодкой,с выводом ШВВП 2х0,75 1м</v>
      </c>
      <c r="C1052" s="14">
        <f ca="1">IFERROR(__xludf.DUMMYFUNCTION("""COMPUTED_VALUE"""),1151.92)</f>
        <v>1151.92</v>
      </c>
      <c r="D1052" s="13"/>
    </row>
    <row r="1053" spans="1:4" ht="51">
      <c r="A1053" s="12" t="str">
        <f ca="1">IFERROR(__xludf.DUMMYFUNCTION("""COMPUTED_VALUE"""),"ИО 102-29 «ЭСТЕТ-СЕЙФ» - уличный IP 66 Основной цвет корпуса белый. По согласованию с заказчиком возможна поставка серо-металлического и черного цвета. НСТК.425119.015")</f>
        <v>ИО 102-29 «ЭСТЕТ-СЕЙФ» - уличный IP 66 Основной цвет корпуса белый. По согласованию с заказчиком возможна поставка серо-металлического и черного цвета. НСТК.425119.015</v>
      </c>
      <c r="B1053" s="13" t="str">
        <f ca="1">IFERROR(__xludf.DUMMYFUNCTION("""COMPUTED_VALUE"""),"Залит компаундом, вывод 500 мм, до -50 °С, IP 66")</f>
        <v>Залит компаундом, вывод 500 мм, до -50 °С, IP 66</v>
      </c>
      <c r="C1053" s="14">
        <f ca="1">IFERROR(__xludf.DUMMYFUNCTION("""COMPUTED_VALUE"""),1356.3737)</f>
        <v>1356.3737000000001</v>
      </c>
      <c r="D1053" s="13"/>
    </row>
    <row r="1054" spans="1:4" ht="51">
      <c r="A1054" s="12" t="str">
        <f ca="1">IFERROR(__xludf.DUMMYFUNCTION("""COMPUTED_VALUE"""),"ИО 102-29 «ЭСТЕТ-СЕЙФ-ИНВЕРТОР» Основной цвет корпуса белый. По согласованию с заказчиком возможна поставка серо-металлического и черного цвета. НСТК.425119.015")</f>
        <v>ИО 102-29 «ЭСТЕТ-СЕЙФ-ИНВЕРТОР» Основной цвет корпуса белый. По согласованию с заказчиком возможна поставка серо-металлического и черного цвета. НСТК.425119.015</v>
      </c>
      <c r="B1054" s="13" t="str">
        <f ca="1">IFERROR(__xludf.DUMMYFUNCTION("""COMPUTED_VALUE"""),"Магнитоконтактный на металлические поверхности миниатюрный с крышкой и встроенной колодкой, при поднесении магнита ближе 10 мм- РАЗОМКНУТ")</f>
        <v>Магнитоконтактный на металлические поверхности миниатюрный с крышкой и встроенной колодкой, при поднесении магнита ближе 10 мм- РАЗОМКНУТ</v>
      </c>
      <c r="C1054" s="14">
        <f ca="1">IFERROR(__xludf.DUMMYFUNCTION("""COMPUTED_VALUE"""),1955.118)</f>
        <v>1955.1179999999999</v>
      </c>
      <c r="D1054" s="13"/>
    </row>
    <row r="1055" spans="1:4" ht="51">
      <c r="A1055" s="12" t="str">
        <f ca="1">IFERROR(__xludf.DUMMYFUNCTION("""COMPUTED_VALUE"""),"ИО 102-29 «ЭСТЕТ-СЕЙФ-ИНВЕРТОР» уличный IP 66 Основной цвет корпуса белый. По согласованию с заказчиком возможна поставка серо-металлического и черного цвета. НСТК.425119.016")</f>
        <v>ИО 102-29 «ЭСТЕТ-СЕЙФ-ИНВЕРТОР» уличный IP 66 Основной цвет корпуса белый. По согласованию с заказчиком возможна поставка серо-металлического и черного цвета. НСТК.425119.016</v>
      </c>
      <c r="B1055" s="13" t="str">
        <f ca="1">IFERROR(__xludf.DUMMYFUNCTION("""COMPUTED_VALUE"""),"Залит компаундом, вывод 500 мм, до -50 °С, IP 66")</f>
        <v>Залит компаундом, вывод 500 мм, до -50 °С, IP 66</v>
      </c>
      <c r="C1055" s="14">
        <f ca="1">IFERROR(__xludf.DUMMYFUNCTION("""COMPUTED_VALUE"""),2243.34)</f>
        <v>2243.34</v>
      </c>
      <c r="D1055" s="13"/>
    </row>
    <row r="1056" spans="1:4" ht="38.25">
      <c r="A1056" s="12" t="str">
        <f ca="1">IFERROR(__xludf.DUMMYFUNCTION("""COMPUTED_VALUE"""),"ДПМ-1 ПАШК.425119.018")</f>
        <v>ДПМ-1 ПАШК.425119.018</v>
      </c>
      <c r="B1056" s="13" t="str">
        <f ca="1">IFERROR(__xludf.DUMMYFUNCTION("""COMPUTED_VALUE"""),"Накладной на металл, раб. зазор до 40 мм, напряжение до 250В, ток до 1А, раб. температура от +80 до – 50 , НР")</f>
        <v>Накладной на металл, раб. зазор до 40 мм, напряжение до 250В, ток до 1А, раб. температура от +80 до – 50 , НР</v>
      </c>
      <c r="C1056" s="14">
        <f ca="1">IFERROR(__xludf.DUMMYFUNCTION("""COMPUTED_VALUE"""),2416.37)</f>
        <v>2416.37</v>
      </c>
      <c r="D1056" s="13"/>
    </row>
    <row r="1057" spans="1:4" ht="76.5">
      <c r="A1057" s="12" t="str">
        <f ca="1">IFERROR(__xludf.DUMMYFUNCTION("""COMPUTED_VALUE"""),"ДПМ-1 (2хНР)")</f>
        <v>ДПМ-1 (2хНР)</v>
      </c>
      <c r="B1057" s="13" t="str">
        <f ca="1">IFERROR(__xludf.DUMMYFUNCTION("""COMPUTED_VALUE"""),"Контакты датчика гарантированно замыкаются при расстоянии между датчиком и магнитом 25 мм и удерживаются замкнутыми на расстоянии до 40 мм, и гарантированно разомкнуты на расстоянии 90 мм.")</f>
        <v>Контакты датчика гарантированно замыкаются при расстоянии между датчиком и магнитом 25 мм и удерживаются замкнутыми на расстоянии до 40 мм, и гарантированно разомкнуты на расстоянии 90 мм.</v>
      </c>
      <c r="C1057" s="14">
        <f ca="1">IFERROR(__xludf.DUMMYFUNCTION("""COMPUTED_VALUE"""),3199.24)</f>
        <v>3199.24</v>
      </c>
      <c r="D1057" s="13"/>
    </row>
    <row r="1058" spans="1:4" ht="63.75">
      <c r="A1058" s="12" t="str">
        <f ca="1">IFERROR(__xludf.DUMMYFUNCTION("""COMPUTED_VALUE"""),"ДПМ-1 металлорукав из оцинкованной стали ПАШК.425119.018")</f>
        <v>ДПМ-1 металлорукав из оцинкованной стали ПАШК.425119.018</v>
      </c>
      <c r="B1058" s="13" t="str">
        <f ca="1">IFERROR(__xludf.DUMMYFUNCTION("""COMPUTED_VALUE"""),"Накладной на металл, раб. зазор до 40 мм, напряжение до 250В, ток до 1А, раб. температура от +80 до – 50 , НР, металлорукав 850 мм, возможно изготовление м/р до 30 м.")</f>
        <v>Накладной на металл, раб. зазор до 40 мм, напряжение до 250В, ток до 1А, раб. температура от +80 до – 50 , НР, металлорукав 850 мм, возможно изготовление м/р до 30 м.</v>
      </c>
      <c r="C1058" s="14">
        <f ca="1">IFERROR(__xludf.DUMMYFUNCTION("""COMPUTED_VALUE"""),3527.8276)</f>
        <v>3527.8276000000001</v>
      </c>
      <c r="D1058" s="13"/>
    </row>
    <row r="1059" spans="1:4" ht="63.75">
      <c r="A1059" s="12" t="str">
        <f ca="1">IFERROR(__xludf.DUMMYFUNCTION("""COMPUTED_VALUE"""),"ДПМ-1 металлорукав из нержавеющей стали ПАШК.425119.018")</f>
        <v>ДПМ-1 металлорукав из нержавеющей стали ПАШК.425119.018</v>
      </c>
      <c r="B1059" s="13" t="str">
        <f ca="1">IFERROR(__xludf.DUMMYFUNCTION("""COMPUTED_VALUE"""),"Накладной на металл, раб. зазор до 40 мм, напряжение до 250В, ток до 1А, раб. температура от +80 до – 50 , НР, металлорукав 850 мм, возможно изготовление м/р до 30 м.")</f>
        <v>Накладной на металл, раб. зазор до 40 мм, напряжение до 250В, ток до 1А, раб. температура от +80 до – 50 , НР, металлорукав 850 мм, возможно изготовление м/р до 30 м.</v>
      </c>
      <c r="C1059" s="14">
        <f ca="1">IFERROR(__xludf.DUMMYFUNCTION("""COMPUTED_VALUE"""),3806.66)</f>
        <v>3806.66</v>
      </c>
      <c r="D1059" s="13"/>
    </row>
    <row r="1060" spans="1:4" ht="51">
      <c r="A1060" s="12" t="str">
        <f ca="1">IFERROR(__xludf.DUMMYFUNCTION("""COMPUTED_VALUE"""),"ДПМ-1 (переключающий 72В) ПАШК.425119.018")</f>
        <v>ДПМ-1 (переключающий 72В) ПАШК.425119.018</v>
      </c>
      <c r="B1060" s="13" t="str">
        <f ca="1">IFERROR(__xludf.DUMMYFUNCTION("""COMPUTED_VALUE"""),"Накладной на металл, раб. зазор до 40 мм, напряжение до 72В, ток до 1А, раб. температура от +80 до – 50 , переключающий геркон КЭМ-3")</f>
        <v>Накладной на металл, раб. зазор до 40 мм, напряжение до 72В, ток до 1А, раб. температура от +80 до – 50 , переключающий геркон КЭМ-3</v>
      </c>
      <c r="C1060" s="14">
        <f ca="1">IFERROR(__xludf.DUMMYFUNCTION("""COMPUTED_VALUE"""),2891.9)</f>
        <v>2891.9</v>
      </c>
      <c r="D1060" s="13"/>
    </row>
    <row r="1061" spans="1:4" ht="76.5">
      <c r="A1061" s="12" t="str">
        <f ca="1">IFERROR(__xludf.DUMMYFUNCTION("""COMPUTED_VALUE"""),"ДПМ-1 (переключающий 72В) металлорукав из оцинкованной стали ПАШК.425119.018")</f>
        <v>ДПМ-1 (переключающий 72В) металлорукав из оцинкованной стали ПАШК.425119.018</v>
      </c>
      <c r="B1061" s="13" t="str">
        <f ca="1">IFERROR(__xludf.DUMMYFUNCTION("""COMPUTED_VALUE"""),"Накладной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f>
        <v>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v>
      </c>
      <c r="C1061" s="14">
        <f ca="1">IFERROR(__xludf.DUMMYFUNCTION("""COMPUTED_VALUE"""),3557.4)</f>
        <v>3557.4</v>
      </c>
      <c r="D1061" s="13"/>
    </row>
    <row r="1062" spans="1:4" ht="76.5">
      <c r="A1062" s="12" t="str">
        <f ca="1">IFERROR(__xludf.DUMMYFUNCTION("""COMPUTED_VALUE"""),"ДПМ-1 (переключающий 72В) металлорукав из нержавеющей стали ПАШК.425119.018")</f>
        <v>ДПМ-1 (переключающий 72В) металлорукав из нержавеющей стали ПАШК.425119.018</v>
      </c>
      <c r="B1062" s="13" t="str">
        <f ca="1">IFERROR(__xludf.DUMMYFUNCTION("""COMPUTED_VALUE"""),"Накладной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f>
        <v>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v>
      </c>
      <c r="C1062" s="14">
        <f ca="1">IFERROR(__xludf.DUMMYFUNCTION("""COMPUTED_VALUE"""),3917.0483)</f>
        <v>3917.0482999999999</v>
      </c>
      <c r="D1062" s="13"/>
    </row>
    <row r="1063" spans="1:4" ht="51">
      <c r="A1063" s="12" t="str">
        <f ca="1">IFERROR(__xludf.DUMMYFUNCTION("""COMPUTED_VALUE"""),"ДПМ-1 (переключающий 250В) ПАШК.425119.018")</f>
        <v>ДПМ-1 (переключающий 250В) ПАШК.425119.018</v>
      </c>
      <c r="B1063" s="13" t="str">
        <f ca="1">IFERROR(__xludf.DUMMYFUNCTION("""COMPUTED_VALUE"""),"Накладной на металл, раб. зазор до 40 мм, напряжение до 250В, ток до 1А, раб. температура от +80 до – 50 , переключающий геркон.")</f>
        <v>Накладной на металл, раб. зазор до 40 мм, напряжение до 250В, ток до 1А, раб. температура от +80 до – 50 , переключающий геркон.</v>
      </c>
      <c r="C1063" s="14">
        <f ca="1">IFERROR(__xludf.DUMMYFUNCTION("""COMPUTED_VALUE"""),3475)</f>
        <v>3475</v>
      </c>
      <c r="D1063" s="13"/>
    </row>
    <row r="1064" spans="1:4" ht="38.25">
      <c r="A1064" s="12" t="str">
        <f ca="1">IFERROR(__xludf.DUMMYFUNCTION("""COMPUTED_VALUE"""),"ДПМ-1-З ПАШК.425119.018-1")</f>
        <v>ДПМ-1-З ПАШК.425119.018-1</v>
      </c>
      <c r="B1064" s="13" t="str">
        <f ca="1">IFERROR(__xludf.DUMMYFUNCTION("""COMPUTED_VALUE"""),"Накладной на металл, раб.зазор до 40мм, напряж. до 250В, ток до 5А, мощность до 250Вт., НЗ")</f>
        <v>Накладной на металл, раб.зазор до 40мм, напряж. до 250В, ток до 5А, мощность до 250Вт., НЗ</v>
      </c>
      <c r="C1064" s="14">
        <f ca="1">IFERROR(__xludf.DUMMYFUNCTION("""COMPUTED_VALUE"""),3349.8608)</f>
        <v>3349.8607999999999</v>
      </c>
      <c r="D1064" s="13"/>
    </row>
    <row r="1065" spans="1:4" ht="38.25">
      <c r="A1065" s="12" t="str">
        <f ca="1">IFERROR(__xludf.DUMMYFUNCTION("""COMPUTED_VALUE"""),"ДПМ-1-100 ПАШК.425119.049")</f>
        <v>ДПМ-1-100 ПАШК.425119.049</v>
      </c>
      <c r="B1065" s="13" t="str">
        <f ca="1">IFERROR(__xludf.DUMMYFUNCTION("""COMPUTED_VALUE"""),"Накладной на металл, рабочий зазор 100 мм, напряжение 72В ,температура +80 до-50 категория помещений 1, НР")</f>
        <v>Накладной на металл, рабочий зазор 100 мм, напряжение 72В ,температура +80 до-50 категория помещений 1, НР</v>
      </c>
      <c r="C1065" s="14">
        <f ca="1">IFERROR(__xludf.DUMMYFUNCTION("""COMPUTED_VALUE"""),4838.2697)</f>
        <v>4838.2696999999998</v>
      </c>
      <c r="D1065" s="13"/>
    </row>
    <row r="1066" spans="1:4" ht="51">
      <c r="A1066" s="12" t="str">
        <f ca="1">IFERROR(__xludf.DUMMYFUNCTION("""COMPUTED_VALUE"""),"ДПМ-1П-100 (переключающий 250В) ПАШК 425119.018 ")</f>
        <v xml:space="preserve">ДПМ-1П-100 (переключающий 250В) ПАШК 425119.018 </v>
      </c>
      <c r="B1066" s="13" t="str">
        <f ca="1">IFERROR(__xludf.DUMMYFUNCTION("""COMPUTED_VALUE"""),"Контакты переключены на расстоянии 55 мм и менее; не переключены на расстоянии 100 мм и более, вывод 850мм, IP68, 250В")</f>
        <v>Контакты переключены на расстоянии 55 мм и менее; не переключены на расстоянии 100 мм и более, вывод 850мм, IP68, 250В</v>
      </c>
      <c r="C1066" s="14">
        <f ca="1">IFERROR(__xludf.DUMMYFUNCTION("""COMPUTED_VALUE"""),6249.65)</f>
        <v>6249.65</v>
      </c>
      <c r="D1066" s="13"/>
    </row>
    <row r="1067" spans="1:4" ht="114.75">
      <c r="A1067" s="12" t="str">
        <f ca="1">IFERROR(__xludf.DUMMYFUNCTION("""COMPUTED_VALUE"""),"ДПМ-1 АВТО ПАШК.425119.018")</f>
        <v>ДПМ-1 АВТО ПАШК.425119.018</v>
      </c>
      <c r="B1067" s="13" t="str">
        <f ca="1">IFERROR(__xludf.DUMMYFUNCTION("""COMPUTED_VALUE"""),"Накладной на металл, раб. зазор до 40 мм,
 напряжение до 250В, ток до 1А, раб. температура от +50 до – 50 , НР, присоединенный ударопрочный, масло-бензостойкий кабель 2х0,7 в двойной изоляции в металлорукаве (штатно кабель 85 см, конечная длина по запросу"&amp;")")</f>
        <v>Накладной на металл, раб. зазор до 40 мм,
 напряжение до 250В, ток до 1А, раб. температура от +50 до – 50 , НР, присоединенный ударопрочный, масло-бензостойкий кабель 2х0,7 в двойной изоляции в металлорукаве (штатно кабель 85 см, конечная длина по запросу)</v>
      </c>
      <c r="C1067" s="14">
        <f ca="1">IFERROR(__xludf.DUMMYFUNCTION("""COMPUTED_VALUE"""),2670)</f>
        <v>2670</v>
      </c>
      <c r="D1067" s="13"/>
    </row>
    <row r="1068" spans="1:4" ht="76.5">
      <c r="A1068" s="12" t="str">
        <f ca="1">IFERROR(__xludf.DUMMYFUNCTION("""COMPUTED_VALUE"""),"Кронштейн К-ДПМ1 для монтажа извещателей охранных ДПМ-1, ДПМ-1-100, ДПМГР-2 АТФЕ.687434.185 ТУ")</f>
        <v>Кронштейн К-ДПМ1 для монтажа извещателей охранных ДПМ-1, ДПМ-1-100, ДПМГР-2 АТФЕ.687434.185 ТУ</v>
      </c>
      <c r="B1068" s="13" t="str">
        <f ca="1">IFERROR(__xludf.DUMMYFUNCTION("""COMPUTED_VALUE"""),"для изменения положения при монтаже блока магнита или блока датчика ДПМ-1, ДПМ-1-100 и ДПМГР-2.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ДПМ-1, ДПМ-1-100 и ДПМГР-2. Позволяет изменить положение одного из блоков на 90 град. Нержавеющая сталь толщиной 1,5 мм</v>
      </c>
      <c r="C1068" s="14">
        <f ca="1">IFERROR(__xludf.DUMMYFUNCTION("""COMPUTED_VALUE"""),519.09)</f>
        <v>519.09</v>
      </c>
      <c r="D1068" s="13"/>
    </row>
    <row r="1069" spans="1:4" ht="63.75">
      <c r="A1069" s="12" t="str">
        <f ca="1">IFERROR(__xludf.DUMMYFUNCTION("""COMPUTED_VALUE"""),"КР-ДПМ-1 Нержавейка")</f>
        <v>КР-ДПМ-1 Нержавейка</v>
      </c>
      <c r="B1069"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069" s="14">
        <f ca="1">IFERROR(__xludf.DUMMYFUNCTION("""COMPUTED_VALUE"""),670)</f>
        <v>670</v>
      </c>
      <c r="D1069" s="13"/>
    </row>
    <row r="1070" spans="1:4" ht="51">
      <c r="A1070" s="12" t="str">
        <f ca="1">IFERROR(__xludf.DUMMYFUNCTION("""COMPUTED_VALUE"""),"ДПМ-2 исп.00 ПАШК.425119.021")</f>
        <v>ДПМ-2 исп.00 ПАШК.425119.021</v>
      </c>
      <c r="B1070" s="13" t="str">
        <f ca="1">IFERROR(__xludf.DUMMYFUNCTION("""COMPUTED_VALUE"""),"Накладной на металл НР, напряжение до 72В, зазор до 40мм, провод 350 мм, двойная изоляция С увеличенным расстоянием срабатывания плюс 30 руб.")</f>
        <v>Накладной на металл НР, напряжение до 72В, зазор до 40мм, провод 350 мм, двойная изоляция С увеличенным расстоянием срабатывания плюс 30 руб.</v>
      </c>
      <c r="C1070" s="14">
        <f ca="1">IFERROR(__xludf.DUMMYFUNCTION("""COMPUTED_VALUE"""),520.6971)</f>
        <v>520.69709999999998</v>
      </c>
      <c r="D1070" s="13"/>
    </row>
    <row r="1071" spans="1:4" ht="12.75">
      <c r="A1071" s="12" t="str">
        <f ca="1">IFERROR(__xludf.DUMMYFUNCTION("""COMPUTED_VALUE"""),"ДПМ-2 исп.00 R ПАШК.425119.021")</f>
        <v>ДПМ-2 исп.00 R ПАШК.425119.021</v>
      </c>
      <c r="B1071" s="13" t="str">
        <f ca="1">IFERROR(__xludf.DUMMYFUNCTION("""COMPUTED_VALUE"""),"с резистором R=3,9кОм")</f>
        <v>с резистором R=3,9кОм</v>
      </c>
      <c r="C1071" s="14">
        <f ca="1">IFERROR(__xludf.DUMMYFUNCTION("""COMPUTED_VALUE"""),944.7438)</f>
        <v>944.74379999999996</v>
      </c>
      <c r="D1071" s="13"/>
    </row>
    <row r="1072" spans="1:4" ht="63.75">
      <c r="A1072" s="12" t="str">
        <f ca="1">IFERROR(__xludf.DUMMYFUNCTION("""COMPUTED_VALUE"""),"ДПМ-2 исп.00 FRHF ПАШК.425119.021")</f>
        <v>ДПМ-2 исп.00 FRHF ПАШК.425119.021</v>
      </c>
      <c r="B1072" s="13" t="str">
        <f ca="1">IFERROR(__xludf.DUMMYFUNCTION("""COMPUTED_VALUE"""),"Накладной на металл НР, напряжение до 72В, 
 зазор до 40мм, присоединенный кабель FRHF огнестойкий безгалогенный в двойной изоляции 350 мм.")</f>
        <v>Накладной на металл НР, напряжение до 72В, 
 зазор до 40мм, присоединенный кабель FRHF огнестойкий безгалогенный в двойной изоляции 350 мм.</v>
      </c>
      <c r="C1072" s="14">
        <f ca="1">IFERROR(__xludf.DUMMYFUNCTION("""COMPUTED_VALUE"""),670)</f>
        <v>670</v>
      </c>
      <c r="D1072" s="13"/>
    </row>
    <row r="1073" spans="1:4" ht="76.5">
      <c r="A1073" s="12" t="str">
        <f ca="1">IFERROR(__xludf.DUMMYFUNCTION("""COMPUTED_VALUE"""),"ДПМ-2 исп. АВТО ПАШК.425119.021")</f>
        <v>ДПМ-2 исп. АВТО ПАШК.425119.021</v>
      </c>
      <c r="B1073" s="13" t="str">
        <f ca="1">IFERROR(__xludf.DUMMYFUNCTION("""COMPUTED_VALUE"""),"Накладной на металл НР, напряжение до 72В, 
 зазор до 40мм, присоединенный ударопрочный, масло-бензостойкий кабель 2х0,7 в двойной изоляции в металлорукаве 350 мм.")</f>
        <v>Накладной на металл НР, напряжение до 72В, 
 зазор до 40мм, присоединенный ударопрочный, масло-бензостойкий кабель 2х0,7 в двойной изоляции в металлорукаве 350 мм.</v>
      </c>
      <c r="C1073" s="14">
        <f ca="1">IFERROR(__xludf.DUMMYFUNCTION("""COMPUTED_VALUE"""),820)</f>
        <v>820</v>
      </c>
      <c r="D1073" s="13"/>
    </row>
    <row r="1074" spans="1:4" ht="51">
      <c r="A1074" s="12" t="str">
        <f ca="1">IFERROR(__xludf.DUMMYFUNCTION("""COMPUTED_VALUE"""),"ДПМ-2 исп.01 ПАШК.425119.021")</f>
        <v>ДПМ-2 исп.01 ПАШК.425119.021</v>
      </c>
      <c r="B1074" s="13" t="str">
        <f ca="1">IFERROR(__xludf.DUMMYFUNCTION("""COMPUTED_VALUE"""),"Накладной на металл НР, напряжение до 72В, зазор до 40мм, внутренний разъём С увеличенным расстоянием срабатывания плюс 30 руб.")</f>
        <v>Накладной на металл НР, напряжение до 72В, зазор до 40мм, внутренний разъём С увеличенным расстоянием срабатывания плюс 30 руб.</v>
      </c>
      <c r="C1074" s="14">
        <f ca="1">IFERROR(__xludf.DUMMYFUNCTION("""COMPUTED_VALUE"""),556.5)</f>
        <v>556.5</v>
      </c>
      <c r="D1074" s="13"/>
    </row>
    <row r="1075" spans="1:4" ht="38.25">
      <c r="A1075" s="12" t="str">
        <f ca="1">IFERROR(__xludf.DUMMYFUNCTION("""COMPUTED_VALUE"""),"ДПМ-2 исп.01/1 ПАШК.425119.021")</f>
        <v>ДПМ-2 исп.01/1 ПАШК.425119.021</v>
      </c>
      <c r="B1075" s="13" t="str">
        <f ca="1">IFERROR(__xludf.DUMMYFUNCTION("""COMPUTED_VALUE"""),"Винтовые клеммы (винт М3 (0.5-2,5мм2 ) С увеличенным расстоянием срабатывания плюс 30 руб.")</f>
        <v>Винтовые клеммы (винт М3 (0.5-2,5мм2 ) С увеличенным расстоянием срабатывания плюс 30 руб.</v>
      </c>
      <c r="C1075" s="14">
        <f ca="1">IFERROR(__xludf.DUMMYFUNCTION("""COMPUTED_VALUE"""),749.2485)</f>
        <v>749.24850000000004</v>
      </c>
      <c r="D1075" s="13"/>
    </row>
    <row r="1076" spans="1:4" ht="25.5">
      <c r="A1076" s="12" t="str">
        <f ca="1">IFERROR(__xludf.DUMMYFUNCTION("""COMPUTED_VALUE"""),"ДПМ-2 исп.01/2 ПАШК.425119.021")</f>
        <v>ДПМ-2 исп.01/2 ПАШК.425119.021</v>
      </c>
      <c r="B1076" s="13" t="str">
        <f ca="1">IFERROR(__xludf.DUMMYFUNCTION("""COMPUTED_VALUE"""),"винт М3 (0.5-2,5мм2 ) С увеличенным расстоянием срабатывания плюс 30 руб.")</f>
        <v>винт М3 (0.5-2,5мм2 ) С увеличенным расстоянием срабатывания плюс 30 руб.</v>
      </c>
      <c r="C1076" s="14">
        <f ca="1">IFERROR(__xludf.DUMMYFUNCTION("""COMPUTED_VALUE"""),826.82985)</f>
        <v>826.82984999999996</v>
      </c>
      <c r="D1076" s="13"/>
    </row>
    <row r="1077" spans="1:4" ht="12.75">
      <c r="A1077" s="12" t="str">
        <f ca="1">IFERROR(__xludf.DUMMYFUNCTION("""COMPUTED_VALUE"""),"ДПМ-2 исп.01 R ПАШК.425119.021")</f>
        <v>ДПМ-2 исп.01 R ПАШК.425119.021</v>
      </c>
      <c r="B1077" s="13" t="str">
        <f ca="1">IFERROR(__xludf.DUMMYFUNCTION("""COMPUTED_VALUE"""),"с резистором")</f>
        <v>с резистором</v>
      </c>
      <c r="C1077" s="14">
        <f ca="1">IFERROR(__xludf.DUMMYFUNCTION("""COMPUTED_VALUE"""),979.26675)</f>
        <v>979.26675</v>
      </c>
      <c r="D1077" s="13"/>
    </row>
    <row r="1078" spans="1:4" ht="63.75">
      <c r="A1078" s="12" t="str">
        <f ca="1">IFERROR(__xludf.DUMMYFUNCTION("""COMPUTED_VALUE"""),"ДПМ-2 исп.02 ПАШК.425119.021")</f>
        <v>ДПМ-2 исп.02 ПАШК.425119.021</v>
      </c>
      <c r="B1078" s="13" t="str">
        <f ca="1">IFERROR(__xludf.DUMMYFUNCTION("""COMPUTED_VALUE"""),"Накладной на металл перекл., напряжение до 72В, зазор до 40мм, провод 350 мм, двойная изоляция С увеличенным расстоянием срабатывания плюс 30 руб.")</f>
        <v>Накладной на металл перекл., напряжение до 72В, зазор до 40мм, провод 350 мм, двойная изоляция С увеличенным расстоянием срабатывания плюс 30 руб.</v>
      </c>
      <c r="C1078" s="14">
        <f ca="1">IFERROR(__xludf.DUMMYFUNCTION("""COMPUTED_VALUE"""),1512)</f>
        <v>1512</v>
      </c>
      <c r="D1078" s="13"/>
    </row>
    <row r="1079" spans="1:4" ht="12.75">
      <c r="A1079" s="12" t="str">
        <f ca="1">IFERROR(__xludf.DUMMYFUNCTION("""COMPUTED_VALUE"""),"ДПМ-2 исп.02 R ПАШК.425119.021")</f>
        <v>ДПМ-2 исп.02 R ПАШК.425119.021</v>
      </c>
      <c r="B1079" s="13" t="str">
        <f ca="1">IFERROR(__xludf.DUMMYFUNCTION("""COMPUTED_VALUE"""),"с резистором")</f>
        <v>с резистором</v>
      </c>
      <c r="C1079" s="14">
        <f ca="1">IFERROR(__xludf.DUMMYFUNCTION("""COMPUTED_VALUE"""),1942.5)</f>
        <v>1942.5</v>
      </c>
      <c r="D1079" s="13"/>
    </row>
    <row r="1080" spans="1:4" ht="51">
      <c r="A1080" s="12" t="str">
        <f ca="1">IFERROR(__xludf.DUMMYFUNCTION("""COMPUTED_VALUE"""),"ДПМ-2 исп.03 ПАШК.425119.021")</f>
        <v>ДПМ-2 исп.03 ПАШК.425119.021</v>
      </c>
      <c r="B1080" s="13" t="str">
        <f ca="1">IFERROR(__xludf.DUMMYFUNCTION("""COMPUTED_VALUE"""),"Накладной на металл перекл., напряжение до 72В, зазор до 40мм, внутренний разъём С увеличенным расстоянием срабатывания плюс 30 руб.")</f>
        <v>Накладной на металл перекл., напряжение до 72В, зазор до 40мм, внутренний разъём С увеличенным расстоянием срабатывания плюс 30 руб.</v>
      </c>
      <c r="C1080" s="14">
        <f ca="1">IFERROR(__xludf.DUMMYFUNCTION("""COMPUTED_VALUE"""),1255.4157)</f>
        <v>1255.4157</v>
      </c>
      <c r="D1080" s="13"/>
    </row>
    <row r="1081" spans="1:4" ht="38.25">
      <c r="A1081" s="12" t="str">
        <f ca="1">IFERROR(__xludf.DUMMYFUNCTION("""COMPUTED_VALUE"""),"ДПМ-2 исп.03/1 ПАШК.425119.021")</f>
        <v>ДПМ-2 исп.03/1 ПАШК.425119.021</v>
      </c>
      <c r="B1081" s="13" t="str">
        <f ca="1">IFERROR(__xludf.DUMMYFUNCTION("""COMPUTED_VALUE"""),"Винтовые клеммы, винт М3 (0.5-2,5мм2 ), переключающий геркон С увеличенным расстоянием срабатывания плюс 30 руб.")</f>
        <v>Винтовые клеммы, винт М3 (0.5-2,5мм2 ), переключающий геркон С увеличенным расстоянием срабатывания плюс 30 руб.</v>
      </c>
      <c r="C1081" s="14">
        <f ca="1">IFERROR(__xludf.DUMMYFUNCTION("""COMPUTED_VALUE"""),1223.98815)</f>
        <v>1223.9881499999999</v>
      </c>
      <c r="D1081" s="13"/>
    </row>
    <row r="1082" spans="1:4" ht="38.25">
      <c r="A1082" s="12" t="str">
        <f ca="1">IFERROR(__xludf.DUMMYFUNCTION("""COMPUTED_VALUE"""),"ДПМ-2 исп.03/2 ПАШК.425119.021")</f>
        <v>ДПМ-2 исп.03/2 ПАШК.425119.021</v>
      </c>
      <c r="B1082" s="13" t="str">
        <f ca="1">IFERROR(__xludf.DUMMYFUNCTION("""COMPUTED_VALUE"""),"Клеммы экспрессмонтажа (Wago) 
  (0,2-0,75мм2) С увеличенным расстоянием срабатывания плюс 30 руб.")</f>
        <v>Клеммы экспрессмонтажа (Wago) 
  (0,2-0,75мм2) С увеличенным расстоянием срабатывания плюс 30 руб.</v>
      </c>
      <c r="C1082" s="14">
        <f ca="1">IFERROR(__xludf.DUMMYFUNCTION("""COMPUTED_VALUE"""),1346.25645)</f>
        <v>1346.2564500000001</v>
      </c>
      <c r="D1082" s="13"/>
    </row>
    <row r="1083" spans="1:4" ht="12.75">
      <c r="A1083" s="12" t="str">
        <f ca="1">IFERROR(__xludf.DUMMYFUNCTION("""COMPUTED_VALUE"""),"ДПМ-2 исп.03 R ПАШК.425119.021")</f>
        <v>ДПМ-2 исп.03 R ПАШК.425119.021</v>
      </c>
      <c r="B1083" s="13" t="str">
        <f ca="1">IFERROR(__xludf.DUMMYFUNCTION("""COMPUTED_VALUE"""),"с резистором")</f>
        <v>с резистором</v>
      </c>
      <c r="C1083" s="14">
        <f ca="1">IFERROR(__xludf.DUMMYFUNCTION("""COMPUTED_VALUE"""),1326.64455)</f>
        <v>1326.64455</v>
      </c>
      <c r="D1083" s="13"/>
    </row>
    <row r="1084" spans="1:4" ht="63.75">
      <c r="A1084" s="12" t="str">
        <f ca="1">IFERROR(__xludf.DUMMYFUNCTION("""COMPUTED_VALUE"""),"ДПМ-2 исп.04 металлорукав из оцинкованной стали ПАШК.425119.021")</f>
        <v>ДПМ-2 исп.04 металлорукав из оцинкованной стали ПАШК.425119.021</v>
      </c>
      <c r="B1084" s="13" t="str">
        <f ca="1">IFERROR(__xludf.DUMMYFUNCTION("""COMPUTED_VALUE"""),"Накладной на металл НР, зазор 40мм, оцинкованный металлоукав 700 мм, возможно изготовление м/р до 30 м. С увеличенным расстоянием срабатывания плюс 30 руб.")</f>
        <v>Накладной на металл НР, зазор 40мм, оцинкованный металлоукав 700 мм, возможно изготовление м/р до 30 м. С увеличенным расстоянием срабатывания плюс 30 руб.</v>
      </c>
      <c r="C1084" s="14">
        <f ca="1">IFERROR(__xludf.DUMMYFUNCTION("""COMPUTED_VALUE"""),1029)</f>
        <v>1029</v>
      </c>
      <c r="D1084" s="13"/>
    </row>
    <row r="1085" spans="1:4" ht="12.75">
      <c r="A1085" s="12" t="str">
        <f ca="1">IFERROR(__xludf.DUMMYFUNCTION("""COMPUTED_VALUE"""),"ДПМ-2 исп.04 R ПАШК.425119.021")</f>
        <v>ДПМ-2 исп.04 R ПАШК.425119.021</v>
      </c>
      <c r="B1085" s="13" t="str">
        <f ca="1">IFERROR(__xludf.DUMMYFUNCTION("""COMPUTED_VALUE"""),"с резистором")</f>
        <v>с резистором</v>
      </c>
      <c r="C1085" s="14">
        <f ca="1">IFERROR(__xludf.DUMMYFUNCTION("""COMPUTED_VALUE"""),1084.65)</f>
        <v>1084.6500000000001</v>
      </c>
      <c r="D1085" s="13"/>
    </row>
    <row r="1086" spans="1:4" ht="38.25">
      <c r="A1086" s="12" t="str">
        <f ca="1">IFERROR(__xludf.DUMMYFUNCTION("""COMPUTED_VALUE"""),"ДПМ-2 исп.04 металлорукав из нержавеющей стали ПАШК.425119.021")</f>
        <v>ДПМ-2 исп.04 металлорукав из нержавеющей стали ПАШК.425119.021</v>
      </c>
      <c r="B1086" s="13" t="str">
        <f ca="1">IFERROR(__xludf.DUMMYFUNCTION("""COMPUTED_VALUE"""),"Накладной на металл НР, зазор 40мм, металлоукав из нержавеющей стали 700 мм, возможно изготовление м/р до 30 м.")</f>
        <v>Накладной на металл НР, зазор 40мм, металлоукав из нержавеющей стали 700 мм, возможно изготовление м/р до 30 м.</v>
      </c>
      <c r="C1086" s="14">
        <f ca="1">IFERROR(__xludf.DUMMYFUNCTION("""COMPUTED_VALUE"""),1304.1)</f>
        <v>1304.0999999999999</v>
      </c>
      <c r="D1086" s="13"/>
    </row>
    <row r="1087" spans="1:4" ht="76.5">
      <c r="A1087" s="12" t="str">
        <f ca="1">IFERROR(__xludf.DUMMYFUNCTION("""COMPUTED_VALUE"""),"ДПМ-2 исп. 05 металлорукав из оцинкованной стали ПАШК.425119.021")</f>
        <v>ДПМ-2 исп. 05 металлорукав из оцинкованной стали ПАШК.425119.021</v>
      </c>
      <c r="B1087" s="13" t="str">
        <f ca="1">IFERROR(__xludf.DUMMYFUNCTION("""COMPUTED_VALUE"""),"Накладной на металл перекл., напряжение до 72В, зазор до 40мм, оцинкованный металлорукав 700 мм, возможно изготовление м/р до 30 м. С увеличенным расстоянием срабатывания плюс 30 руб.")</f>
        <v>Накладной на металл перекл., напряжение до 72В, зазор до 40мм, оцинкованный металлорукав 700 мм, возможно изготовление м/р до 30 м. С увеличенным расстоянием срабатывания плюс 30 руб.</v>
      </c>
      <c r="C1087" s="14">
        <f ca="1">IFERROR(__xludf.DUMMYFUNCTION("""COMPUTED_VALUE"""),921.12405)</f>
        <v>921.12405000000001</v>
      </c>
      <c r="D1087" s="13"/>
    </row>
    <row r="1088" spans="1:4" ht="76.5">
      <c r="A1088" s="12" t="str">
        <f ca="1">IFERROR(__xludf.DUMMYFUNCTION("""COMPUTED_VALUE"""),"ДПМ-2 исп. 05 металлорукав из нержавеющей стали ПАШК.425119.021")</f>
        <v>ДПМ-2 исп. 05 металлорукав из нержавеющей стали ПАШК.425119.021</v>
      </c>
      <c r="B1088" s="13" t="str">
        <f ca="1">IFERROR(__xludf.DUMMYFUNCTION("""COMPUTED_VALUE"""),"Накладной на металл перекл., напряжение до 72В, зазор до 40мм, металлорукав из нержавеющей стали 700 мм, возможно изготовление м/р до 30 м. С увеличенным расстоянием срабатывания плюс 30 руб.")</f>
        <v>Накладной на металл перекл., напряжение до 72В, зазор до 40мм, металлорукав из нержавеющей стали 700 мм, возможно изготовление м/р до 30 м. С увеличенным расстоянием срабатывания плюс 30 руб.</v>
      </c>
      <c r="C1088" s="14">
        <f ca="1">IFERROR(__xludf.DUMMYFUNCTION("""COMPUTED_VALUE"""),1218)</f>
        <v>1218</v>
      </c>
      <c r="D1088" s="13"/>
    </row>
    <row r="1089" spans="1:4" ht="12.75">
      <c r="A1089" s="12" t="str">
        <f ca="1">IFERROR(__xludf.DUMMYFUNCTION("""COMPUTED_VALUE"""),"ДПМ-2 исп. 05 R ПАШК.425119.021")</f>
        <v>ДПМ-2 исп. 05 R ПАШК.425119.021</v>
      </c>
      <c r="B1089" s="13" t="str">
        <f ca="1">IFERROR(__xludf.DUMMYFUNCTION("""COMPUTED_VALUE"""),"с резистором")</f>
        <v>с резистором</v>
      </c>
      <c r="C1089" s="14">
        <f ca="1">IFERROR(__xludf.DUMMYFUNCTION("""COMPUTED_VALUE"""),1441.65)</f>
        <v>1441.65</v>
      </c>
      <c r="D1089" s="13"/>
    </row>
    <row r="1090" spans="1:4" ht="63.75">
      <c r="A1090" s="12" t="str">
        <f ca="1">IFERROR(__xludf.DUMMYFUNCTION("""COMPUTED_VALUE"""),"ДПМ-2 исп. 06 металлорукав из оцинкованной стали ПАШК.425119.021")</f>
        <v>ДПМ-2 исп. 06 металлорукав из оцинкованной стали ПАШК.425119.021</v>
      </c>
      <c r="B1090" s="13" t="str">
        <f ca="1">IFERROR(__xludf.DUMMYFUNCTION("""COMPUTED_VALUE"""),"Напольный накладной на метал. Поверхностный, НР, оцинкованный металлорукав, возможно изготовление м/р до 30 м. С увеличенным расстоянием срабатывания плюс 30 руб.")</f>
        <v>Напольный накладной на метал. Поверхностный, НР, оцинкованный металлорукав, возможно изготовление м/р до 30 м. С увеличенным расстоянием срабатывания плюс 30 руб.</v>
      </c>
      <c r="C1090" s="14">
        <f ca="1">IFERROR(__xludf.DUMMYFUNCTION("""COMPUTED_VALUE"""),556.5)</f>
        <v>556.5</v>
      </c>
      <c r="D1090" s="13"/>
    </row>
    <row r="1091" spans="1:4" ht="12.75">
      <c r="A1091" s="12" t="str">
        <f ca="1">IFERROR(__xludf.DUMMYFUNCTION("""COMPUTED_VALUE"""),"ДПМ-2 исп. 06 R ПАШК.425119.021")</f>
        <v>ДПМ-2 исп. 06 R ПАШК.425119.021</v>
      </c>
      <c r="B1091" s="13" t="str">
        <f ca="1">IFERROR(__xludf.DUMMYFUNCTION("""COMPUTED_VALUE"""),"с резистором")</f>
        <v>с резистором</v>
      </c>
      <c r="C1091" s="14">
        <f ca="1">IFERROR(__xludf.DUMMYFUNCTION("""COMPUTED_VALUE"""),979.8096)</f>
        <v>979.80960000000005</v>
      </c>
      <c r="D1091" s="13"/>
    </row>
    <row r="1092" spans="1:4" ht="51">
      <c r="A1092" s="12" t="str">
        <f ca="1">IFERROR(__xludf.DUMMYFUNCTION("""COMPUTED_VALUE"""),"ДПМ-2 исп. 06 металлорукав из нержавеющей стали ПАШК.425119.021")</f>
        <v>ДПМ-2 исп. 06 металлорукав из нержавеющей стали ПАШК.425119.021</v>
      </c>
      <c r="B1092" s="13" t="str">
        <f ca="1">IFERROR(__xludf.DUMMYFUNCTION("""COMPUTED_VALUE"""),"Напольный накладной на метал. Поверхностный, НР, металлорукав из нержавеющей стали , возможно изготовление м/р до 30 м.")</f>
        <v>Напольный накладной на метал. Поверхностный, НР, металлорукав из нержавеющей стали , возможно изготовление м/р до 30 м.</v>
      </c>
      <c r="C1092" s="14">
        <f ca="1">IFERROR(__xludf.DUMMYFUNCTION("""COMPUTED_VALUE"""),781.2)</f>
        <v>781.2</v>
      </c>
      <c r="D1092" s="13"/>
    </row>
    <row r="1093" spans="1:4" ht="51">
      <c r="A1093" s="12" t="str">
        <f ca="1">IFERROR(__xludf.DUMMYFUNCTION("""COMPUTED_VALUE"""),"ДПМ-2 исп. 07 металлорукав из оцинкованной стали ПАШК.425119.021")</f>
        <v>ДПМ-2 исп. 07 металлорукав из оцинкованной стали ПАШК.425119.021</v>
      </c>
      <c r="B1093" s="13" t="str">
        <f ca="1">IFERROR(__xludf.DUMMYFUNCTION("""COMPUTED_VALUE"""),"Напольный накладной на метал. поверхностный, переключ. оцинкованный металлорукав, возможно изготовление м/р до 30 м.")</f>
        <v>Напольный накладной на метал. поверхностный, переключ. оцинкованный металлорукав, возможно изготовление м/р до 30 м.</v>
      </c>
      <c r="C1093" s="14">
        <f ca="1">IFERROR(__xludf.DUMMYFUNCTION("""COMPUTED_VALUE"""),921.12405)</f>
        <v>921.12405000000001</v>
      </c>
      <c r="D1093" s="13"/>
    </row>
    <row r="1094" spans="1:4" ht="12.75">
      <c r="A1094" s="12" t="str">
        <f ca="1">IFERROR(__xludf.DUMMYFUNCTION("""COMPUTED_VALUE"""),"ДПМ-2 исп. 07 R ПАШК.425119.021")</f>
        <v>ДПМ-2 исп. 07 R ПАШК.425119.021</v>
      </c>
      <c r="B1094" s="13" t="str">
        <f ca="1">IFERROR(__xludf.DUMMYFUNCTION("""COMPUTED_VALUE"""),"с резистором")</f>
        <v>с резистором</v>
      </c>
      <c r="C1094" s="14">
        <f ca="1">IFERROR(__xludf.DUMMYFUNCTION("""COMPUTED_VALUE"""),1353.53295)</f>
        <v>1353.53295</v>
      </c>
      <c r="D1094" s="13"/>
    </row>
    <row r="1095" spans="1:4" ht="51">
      <c r="A1095" s="12" t="str">
        <f ca="1">IFERROR(__xludf.DUMMYFUNCTION("""COMPUTED_VALUE"""),"ДПМ-2 исп. 07 металлорукав из нержавеющей стали ПАШК.425119.021")</f>
        <v>ДПМ-2 исп. 07 металлорукав из нержавеющей стали ПАШК.425119.021</v>
      </c>
      <c r="B1095" s="13" t="str">
        <f ca="1">IFERROR(__xludf.DUMMYFUNCTION("""COMPUTED_VALUE"""),"Напольный накладной на метал. поверхностный, переключ. металлорукав из нержавеющей стали , возможно изготовление м/р до 30 м.")</f>
        <v>Напольный накладной на метал. поверхностный, переключ. металлорукав из нержавеющей стали , возможно изготовление м/р до 30 м.</v>
      </c>
      <c r="C1095" s="14">
        <f ca="1">IFERROR(__xludf.DUMMYFUNCTION("""COMPUTED_VALUE"""),1114.05)</f>
        <v>1114.05</v>
      </c>
      <c r="D1095" s="13"/>
    </row>
    <row r="1096" spans="1:4" ht="114.75">
      <c r="A1096" s="12" t="str">
        <f ca="1">IFERROR(__xludf.DUMMYFUNCTION("""COMPUTED_VALUE"""),"ДПМ-2-исп.100 ПАШК.425119.058")</f>
        <v>ДПМ-2-исп.100 ПАШК.425119.058</v>
      </c>
      <c r="B1096" s="13" t="str">
        <f ca="1">IFERROR(__xludf.DUMMYFUNCTION("""COMPUTED_VALUE"""),"Датчик металлический, на металл, НР, раст. сраб. 30 мм , Uкомут. – 0,02-72 В, Iкоммут. -0.01-0.5 А, Pкоммут. не более 10 Вт,IP 68, провод 1000 мм, двойная изоляция. Покрытие корпусов вандалоустойчивыми красками: Антик, Антик серебряный, порошковые - +150 "&amp;"руб., покрытие простыми красками - + 100руб.")</f>
        <v>Датчик металлический, на металл, НР, раст. сраб. 30 мм , Uкомут. – 0,02-72 В, Iкоммут. -0.01-0.5 А, Pкоммут. не более 10 Вт,IP 68, провод 1000 мм, двойная изоляция. Покрытие корпусов вандалоустойчивыми красками: Антик, Антик серебряный, порошковые - +150 руб., покрытие простыми красками - + 100руб.</v>
      </c>
      <c r="C1096" s="14">
        <f ca="1">IFERROR(__xludf.DUMMYFUNCTION("""COMPUTED_VALUE"""),2871)</f>
        <v>2871</v>
      </c>
      <c r="D1096" s="13"/>
    </row>
    <row r="1097" spans="1:4" ht="114.75">
      <c r="A1097" s="12" t="str">
        <f ca="1">IFERROR(__xludf.DUMMYFUNCTION("""COMPUTED_VALUE"""),"ДПМ-2-исп.102 ПАШК.425119.058")</f>
        <v>ДПМ-2-исп.102 ПАШК.425119.058</v>
      </c>
      <c r="B1097" s="13" t="str">
        <f ca="1">IFERROR(__xludf.DUMMYFUNCTION("""COMPUTED_VALUE"""),"Датчик металлический, на металл, Переключающий, раст. сраб. 24 мм , Uкомут. – 0,02-72 В, Iкоммут. -0.01-0.5 А, Pкоммут. не более 10 Вт. IP 68 , провод 1000 мм, двойная изоляция. Покрытие корпусов вандалоустойчивыми красками: Антик, Антик серебряный, порош"&amp;"ковые - +150 руб., покрытие простыми красками - + 100руб.")</f>
        <v>Датчик металлический, на металл, Переключающий, раст. сраб. 24 мм , Uкомут. – 0,02-72 В, Iкоммут. -0.01-0.5 А, Pкоммут. не более 10 Вт. IP 68 , провод 1000 мм, двойная изоляция. Покрытие корпусов вандалоустойчивыми красками: Антик, Антик серебряный, порошковые - +150 руб., покрытие простыми красками - + 100руб.</v>
      </c>
      <c r="C1097" s="14">
        <f ca="1">IFERROR(__xludf.DUMMYFUNCTION("""COMPUTED_VALUE"""),3330.8)</f>
        <v>3330.8</v>
      </c>
      <c r="D1097" s="13"/>
    </row>
    <row r="1098" spans="1:4" ht="114.75">
      <c r="A1098" s="12" t="str">
        <f ca="1">IFERROR(__xludf.DUMMYFUNCTION("""COMPUTED_VALUE"""),"ДПМ-2-исп.104 металлорукав из оцинкованной стали ПАШК.425119.058")</f>
        <v>ДПМ-2-исп.104 металлорукав из оцинкованной стали ПАШК.425119.058</v>
      </c>
      <c r="B1098" s="13" t="str">
        <f ca="1">IFERROR(__xludf.DUMMYFUNCTION("""COMPUTED_VALUE"""),"Датчик металлический,на металл, НР, раст. сраб. 30 мм , Uкомут. – 0,02-72 В, Iкоммут. -0.01-0.5 А, Pкоммут. не более 10 Вт, IP 68, оцинкованный металлорукав 1000 мм. Покрытие корпусов вандалоустойчивыми красками: Антик, Антик серебряный, порошковые - +150"&amp;" руб., покрытие простыми красками - + 100руб.")</f>
        <v>Датчик металлический,на металл, НР, раст. сраб. 30 мм , Uкомут. – 0,02-72 В, Iкоммут. -0.01-0.5 А, Pкоммут. не более 10 Вт, IP 68, оцинкованный металлорукав 1000 мм. Покрытие корпусов вандалоустойчивыми красками: Антик, Антик серебряный, порошковые - +150 руб., покрытие простыми красками - + 100руб.</v>
      </c>
      <c r="C1098" s="14">
        <f ca="1">IFERROR(__xludf.DUMMYFUNCTION("""COMPUTED_VALUE"""),2970)</f>
        <v>2970</v>
      </c>
      <c r="D1098" s="13"/>
    </row>
    <row r="1099" spans="1:4" ht="114.75">
      <c r="A1099" s="12" t="str">
        <f ca="1">IFERROR(__xludf.DUMMYFUNCTION("""COMPUTED_VALUE"""),"ДПМ-2-исп.104 металлорукав из нержавеющей стали ПАШК.425119.058")</f>
        <v>ДПМ-2-исп.104 металлорукав из нержавеющей стали ПАШК.425119.058</v>
      </c>
      <c r="B1099" s="13" t="str">
        <f ca="1">IFERROR(__xludf.DUMMYFUNCTION("""COMPUTED_VALUE"""),"Датчик металлический,на металл, НР, раст. сраб. 30 мм , Uкомут. – 0,02-72 В, Iкоммут. -0.01-0.5 А, Pкоммут. не более 10 Вт, IP 68, металлорукав из нержавеющей стали 1000 мм. Покрытие корпусов вандалоустойчивыми красками: Антик, Антик серебряный, порошковы"&amp;"е - +150 руб., покрытие простыми красками - + 100руб.")</f>
        <v>Датчик металлический,на металл, НР, раст. сраб. 30 мм , Uкомут. – 0,02-72 В, Iкоммут. -0.01-0.5 А, Pкоммут. не более 10 Вт, IP 68, металлорукав из нержавеющей стали 1000 мм. Покрытие корпусов вандалоустойчивыми красками: Антик, Антик серебряный, порошковые - +150 руб., покрытие простыми красками - + 100руб.</v>
      </c>
      <c r="C1099" s="14">
        <f ca="1">IFERROR(__xludf.DUMMYFUNCTION("""COMPUTED_VALUE"""),3349.8608)</f>
        <v>3349.8607999999999</v>
      </c>
      <c r="D1099" s="13"/>
    </row>
    <row r="1100" spans="1:4" ht="114.75">
      <c r="A1100" s="12" t="str">
        <f ca="1">IFERROR(__xludf.DUMMYFUNCTION("""COMPUTED_VALUE"""),"ДПМ-2-исп.105 металлорукав из оцинкованной стали ПАШК.425119.058")</f>
        <v>ДПМ-2-исп.105 металлорукав из оцинкованной стали ПАШК.425119.058</v>
      </c>
      <c r="B1100" s="13" t="str">
        <f ca="1">IFERROR(__xludf.DUMMYFUNCTION("""COMPUTED_VALUE"""),"Датчик металлический, на металл, Переключающий, раст. сраб. 24 мм , Uкомут. – 0,02-72 В, Iкоммут. -0.01-0.5 А, Pкоммут. не более 10 Вт. IP 68 , оцинкованный металлорукав 1000 мм. Покрытие корпусов вандалоустойчивыми красками: Антик, Антик серебряный, поро"&amp;"шковые - +150 руб., покрытие простыми красками - + 100руб.")</f>
        <v>Датчик металлический, на металл, Переключающий, раст. сраб. 24 мм , Uкомут. – 0,02-72 В, Iкоммут. -0.01-0.5 А, Pкоммут. не более 10 Вт. IP 68 , оцинкованный металлорукав 1000 мм. Покрытие корпусов вандалоустойчивыми красками: Антик, Антик серебряный, порошковые - +150 руб., покрытие простыми красками - + 100руб.</v>
      </c>
      <c r="C1100" s="14">
        <f ca="1">IFERROR(__xludf.DUMMYFUNCTION("""COMPUTED_VALUE"""),3674)</f>
        <v>3674</v>
      </c>
      <c r="D1100" s="13"/>
    </row>
    <row r="1101" spans="1:4" ht="127.5">
      <c r="A1101" s="12" t="str">
        <f ca="1">IFERROR(__xludf.DUMMYFUNCTION("""COMPUTED_VALUE"""),"ДПМ-2-исп.105 металлорукав из нержавеющей стали ПАШК.425119.058")</f>
        <v>ДПМ-2-исп.105 металлорукав из нержавеющей стали ПАШК.425119.058</v>
      </c>
      <c r="B1101" s="13" t="str">
        <f ca="1">IFERROR(__xludf.DUMMYFUNCTION("""COMPUTED_VALUE"""),"Датчик металлический, на металл, Переключающий, раст. сраб. 24 мм , Uкомут. – 0,02-72 В, Iкоммут. -0.01-0.5 А, Pкоммут. не более 10 Вт. IP 68 , металлорукав из нержавеющей стали 1000 мм. Покрытие корпусов вандалоустойчивыми красками: Антик, Антик серебрян"&amp;"ый, порошковые - +150 руб., покрытие простыми красками - + 100руб.")</f>
        <v>Датчик металлический, на металл, Переключающий, раст. сраб. 24 мм , Uкомут. – 0,02-72 В, Iкоммут. -0.01-0.5 А, Pкоммут. не более 10 Вт. IP 68 , металлорукав из нержавеющей стали 1000 мм. Покрытие корпусов вандалоустойчивыми красками: Антик, Антик серебряный, порошковые - +150 руб., покрытие простыми красками - + 100руб.</v>
      </c>
      <c r="C1101" s="14">
        <f ca="1">IFERROR(__xludf.DUMMYFUNCTION("""COMPUTED_VALUE"""),3966.6)</f>
        <v>3966.6</v>
      </c>
      <c r="D1101" s="13"/>
    </row>
    <row r="1102" spans="1:4" ht="63.75">
      <c r="A1102" s="12" t="str">
        <f ca="1">IFERROR(__xludf.DUMMYFUNCTION("""COMPUTED_VALUE"""),"ДПМ-2-исп.200 ПАШК.425119.067")</f>
        <v>ДПМ-2-исп.200 ПАШК.425119.067</v>
      </c>
      <c r="B1102" s="13" t="str">
        <f ca="1">IFERROR(__xludf.DUMMYFUNCTION("""COMPUTED_VALUE"""),"Датчик металлический, на металл, НР, раст. сраб. 55 мм , Uкомут. – 0,02-72 В, Iкоммут. -0.01-0.5 А, Pкоммут. не более 10 Вт,IP 68 , провод 1000 мм, двойная изоляция. ")</f>
        <v xml:space="preserve">Датчик металлический, на металл, НР, раст. сраб. 55 мм , Uкомут. – 0,02-72 В, Iкоммут. -0.01-0.5 А, Pкоммут. не более 10 Вт,IP 68 , провод 1000 мм, двойная изоляция. </v>
      </c>
      <c r="C1102" s="14">
        <f ca="1">IFERROR(__xludf.DUMMYFUNCTION("""COMPUTED_VALUE"""),9018.419025)</f>
        <v>9018.4190249999992</v>
      </c>
      <c r="D1102" s="13"/>
    </row>
    <row r="1103" spans="1:4" ht="63.75">
      <c r="A1103" s="12" t="str">
        <f ca="1">IFERROR(__xludf.DUMMYFUNCTION("""COMPUTED_VALUE"""),"ДПМ-2-исп.202 ПАШК.425119.067")</f>
        <v>ДПМ-2-исп.202 ПАШК.425119.067</v>
      </c>
      <c r="B1103" s="13" t="str">
        <f ca="1">IFERROR(__xludf.DUMMYFUNCTION("""COMPUTED_VALUE"""),"Датчик металлический,на металл, Переключающий, раст. сраб. 35 мм , Uкомут. – 0,02-72 В, Iкоммут. -0.01-0.5 А, Pкоммут. не более 10 Вт. IP 68 , провод 1000 мм, двойная изоляция. ")</f>
        <v xml:space="preserve">Датчик металлический,на металл, Переключающий, раст. сраб. 35 мм , Uкомут. – 0,02-72 В, Iкоммут. -0.01-0.5 А, Pкоммут. не более 10 Вт. IP 68 , провод 1000 мм, двойная изоляция. </v>
      </c>
      <c r="C1103" s="14">
        <f ca="1">IFERROR(__xludf.DUMMYFUNCTION("""COMPUTED_VALUE"""),9209.1678)</f>
        <v>9209.1677999999993</v>
      </c>
      <c r="D1103" s="13"/>
    </row>
    <row r="1104" spans="1:4" ht="63.75">
      <c r="A1104" s="12" t="str">
        <f ca="1">IFERROR(__xludf.DUMMYFUNCTION("""COMPUTED_VALUE"""),"ДПМ-2-исп.204 ПАШК.425119.067")</f>
        <v>ДПМ-2-исп.204 ПАШК.425119.067</v>
      </c>
      <c r="B1104" s="13" t="str">
        <f ca="1">IFERROR(__xludf.DUMMYFUNCTION("""COMPUTED_VALUE"""),"Датчик металлический,на металл, НР, раст. сраб. 55 мм , Uкомут. – 0,02-72 В, Iкоммут. -0.01-0.5 А, Pкоммут. не более 10 Вт,IP 68 , металлорукав из нержавеющей стали 1000 мм.")</f>
        <v>Датчик металлический,на металл, НР, раст. сраб. 55 мм , Uкомут. – 0,02-72 В, Iкоммут. -0.01-0.5 А, Pкоммут. не более 10 Вт,IP 68 , металлорукав из нержавеющей стали 1000 мм.</v>
      </c>
      <c r="C1104" s="14">
        <f ca="1">IFERROR(__xludf.DUMMYFUNCTION("""COMPUTED_VALUE"""),9235)</f>
        <v>9235</v>
      </c>
      <c r="D1104" s="13"/>
    </row>
    <row r="1105" spans="1:4" ht="76.5">
      <c r="A1105" s="12" t="str">
        <f ca="1">IFERROR(__xludf.DUMMYFUNCTION("""COMPUTED_VALUE"""),"ДПМ-2-исп.205 ПАШК.425119.067")</f>
        <v>ДПМ-2-исп.205 ПАШК.425119.067</v>
      </c>
      <c r="B1105" s="13" t="str">
        <f ca="1">IFERROR(__xludf.DUMMYFUNCTION("""COMPUTED_VALUE"""),"Датчик металлический,на металл, Переключающий, раст. сраб. 35 мм , Uкомут. – 0,02-72 В, Iкоммут. -0.01-0.5 А, Pкоммут. не более 10 Вт. IP 68 , металлорукав из нержавеющей стали 1000 мм. ")</f>
        <v xml:space="preserve">Датчик металлический,на металл, Переключающий, раст. сраб. 35 мм , Uкомут. – 0,02-72 В, Iкоммут. -0.01-0.5 А, Pкоммут. не более 10 Вт. IP 68 , металлорукав из нержавеющей стали 1000 мм. </v>
      </c>
      <c r="C1105" s="14">
        <f ca="1">IFERROR(__xludf.DUMMYFUNCTION("""COMPUTED_VALUE"""),9430)</f>
        <v>9430</v>
      </c>
      <c r="D1105" s="13"/>
    </row>
    <row r="1106" spans="1:4" ht="127.5">
      <c r="A1106" s="12" t="str">
        <f ca="1">IFERROR(__xludf.DUMMYFUNCTION("""COMPUTED_VALUE"""),"Кронштейн К-ДПМ-2 АЯКС (для монтажа датчиков ДПМ-2 исп. 00, 01, 02, 03, 04, 05, 06, 07)")</f>
        <v>Кронштейн К-ДПМ-2 АЯКС (для монтажа датчиков ДПМ-2 исп. 00, 01, 02, 03, 04, 05, 06, 07)</v>
      </c>
      <c r="B1106" s="13" t="str">
        <f ca="1">IFERROR(__xludf.DUMMYFUNCTION("""COMPUTED_VALUE"""),"для изменения положения при монтаже блока магнита или блока датчика магнитоконтактных датчиков ДПМ-2 (исп. 00, 01, 02, 03, 04, 05, 06, 07) к поверхностям охраняемых конструкций. Кронштейн позволяет изменить положение одного из блоков на 90 град, что обесп"&amp;"ечивает правильное совмещение блока магнита и датчика и исключает нестабильную работу датчика.")</f>
        <v>для изменения положения при монтаже блока магнита или блока датчика магнитоконтактных датчиков ДПМ-2 (исп. 00, 01, 02, 03, 04, 05, 06, 07) к поверхностям охраняемых конструкций. Кронштейн позволяет изменить положение одного из блоков на 90 град, что обеспечивает правильное совмещение блока магнита и датчика и исключает нестабильную работу датчика.</v>
      </c>
      <c r="C1106" s="14">
        <f ca="1">IFERROR(__xludf.DUMMYFUNCTION("""COMPUTED_VALUE"""),495.6)</f>
        <v>495.6</v>
      </c>
      <c r="D1106" s="13"/>
    </row>
    <row r="1107" spans="1:4" ht="63.75">
      <c r="A1107" s="12" t="str">
        <f ca="1">IFERROR(__xludf.DUMMYFUNCTION("""COMPUTED_VALUE"""),"КР-ДПМ-2 Нержавейка")</f>
        <v>КР-ДПМ-2 Нержавейка</v>
      </c>
      <c r="B1107"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107" s="14">
        <f ca="1">IFERROR(__xludf.DUMMYFUNCTION("""COMPUTED_VALUE"""),650)</f>
        <v>650</v>
      </c>
      <c r="D1107" s="13"/>
    </row>
    <row r="1108" spans="1:4" ht="38.25">
      <c r="A1108" s="12" t="str">
        <f ca="1">IFERROR(__xludf.DUMMYFUNCTION("""COMPUTED_VALUE"""),"ДПМ-3 исп.00 ПАШК.425119.021")</f>
        <v>ДПМ-3 исп.00 ПАШК.425119.021</v>
      </c>
      <c r="B1108" s="13" t="str">
        <f ca="1">IFERROR(__xludf.DUMMYFUNCTION("""COMPUTED_VALUE"""),"Накладной на металл НР, провод350 мм, двойная изоляция, расстояние удержания 40 мм,")</f>
        <v>Накладной на металл НР, провод350 мм, двойная изоляция, расстояние удержания 40 мм,</v>
      </c>
      <c r="C1108" s="14">
        <f ca="1">IFERROR(__xludf.DUMMYFUNCTION("""COMPUTED_VALUE"""),459.65535)</f>
        <v>459.65535</v>
      </c>
      <c r="D1108" s="13"/>
    </row>
    <row r="1109" spans="1:4" ht="12.75">
      <c r="A1109" s="12" t="str">
        <f ca="1">IFERROR(__xludf.DUMMYFUNCTION("""COMPUTED_VALUE"""),"ДПМ-3 исп.01 ПАШК.425119.021")</f>
        <v>ДПМ-3 исп.01 ПАШК.425119.021</v>
      </c>
      <c r="B1109" s="13" t="str">
        <f ca="1">IFERROR(__xludf.DUMMYFUNCTION("""COMPUTED_VALUE"""),"Датчик на металл НР, внутренний разъём")</f>
        <v>Датчик на металл НР, внутренний разъём</v>
      </c>
      <c r="C1109" s="14">
        <f ca="1">IFERROR(__xludf.DUMMYFUNCTION("""COMPUTED_VALUE"""),442.93095)</f>
        <v>442.93095</v>
      </c>
      <c r="D1109" s="13"/>
    </row>
    <row r="1110" spans="1:4" ht="25.5">
      <c r="A1110" s="12" t="str">
        <f ca="1">IFERROR(__xludf.DUMMYFUNCTION("""COMPUTED_VALUE"""),"ДПМ-3 исп.02 ПАШК.425119.021")</f>
        <v>ДПМ-3 исп.02 ПАШК.425119.021</v>
      </c>
      <c r="B1110" s="13" t="str">
        <f ca="1">IFERROR(__xludf.DUMMYFUNCTION("""COMPUTED_VALUE"""),"Датчик на металл перекл., , провод 350 мм. Двойн. изоляция")</f>
        <v>Датчик на металл перекл., , провод 350 мм. Двойн. изоляция</v>
      </c>
      <c r="C1110" s="14">
        <f ca="1">IFERROR(__xludf.DUMMYFUNCTION("""COMPUTED_VALUE"""),787.2249)</f>
        <v>787.22490000000005</v>
      </c>
      <c r="D1110" s="13"/>
    </row>
    <row r="1111" spans="1:4" ht="25.5">
      <c r="A1111" s="12" t="str">
        <f ca="1">IFERROR(__xludf.DUMMYFUNCTION("""COMPUTED_VALUE"""),"ДПМ-3 исп.03 ПАШК.425119.021")</f>
        <v>ДПМ-3 исп.03 ПАШК.425119.021</v>
      </c>
      <c r="B1111" s="13" t="str">
        <f ca="1">IFERROR(__xludf.DUMMYFUNCTION("""COMPUTED_VALUE"""),"Датчик на металл переключающий , внутренний разъём")</f>
        <v>Датчик на металл переключающий , внутренний разъём</v>
      </c>
      <c r="C1111" s="14">
        <f ca="1">IFERROR(__xludf.DUMMYFUNCTION("""COMPUTED_VALUE"""),767.78625)</f>
        <v>767.78625</v>
      </c>
      <c r="D1111" s="13"/>
    </row>
    <row r="1112" spans="1:4" ht="25.5">
      <c r="A1112" s="12" t="str">
        <f ca="1">IFERROR(__xludf.DUMMYFUNCTION("""COMPUTED_VALUE"""),"ДПМ-3 исп.04 металлорукав из оцинкованной стали ПАШК.425119.021")</f>
        <v>ДПМ-3 исп.04 металлорукав из оцинкованной стали ПАШК.425119.021</v>
      </c>
      <c r="B1112" s="13" t="str">
        <f ca="1">IFERROR(__xludf.DUMMYFUNCTION("""COMPUTED_VALUE"""),"Датчик на металл НР(норм. разомкн.) оцинкованный металлорукав 700мм.")</f>
        <v>Датчик на металл НР(норм. разомкн.) оцинкованный металлорукав 700мм.</v>
      </c>
      <c r="C1112" s="14">
        <f ca="1">IFERROR(__xludf.DUMMYFUNCTION("""COMPUTED_VALUE"""),496.7193)</f>
        <v>496.71929999999998</v>
      </c>
      <c r="D1112" s="13"/>
    </row>
    <row r="1113" spans="1:4" ht="38.25">
      <c r="A1113" s="12" t="str">
        <f ca="1">IFERROR(__xludf.DUMMYFUNCTION("""COMPUTED_VALUE"""),"ДПМ-3 исп.04 металлорукав из нержавеющей стали ПАШК.425119.021")</f>
        <v>ДПМ-3 исп.04 металлорукав из нержавеющей стали ПАШК.425119.021</v>
      </c>
      <c r="B1113" s="13" t="str">
        <f ca="1">IFERROR(__xludf.DUMMYFUNCTION("""COMPUTED_VALUE"""),"Датчик на металл НР(норм. разомкн.)металлорукав из нержавеющей стали 700мм.")</f>
        <v>Датчик на металл НР(норм. разомкн.)металлорукав из нержавеющей стали 700мм.</v>
      </c>
      <c r="C1113" s="14">
        <f ca="1">IFERROR(__xludf.DUMMYFUNCTION("""COMPUTED_VALUE"""),972.0018)</f>
        <v>972.0018</v>
      </c>
      <c r="D1113" s="13"/>
    </row>
    <row r="1114" spans="1:4" ht="25.5">
      <c r="A1114" s="12" t="str">
        <f ca="1">IFERROR(__xludf.DUMMYFUNCTION("""COMPUTED_VALUE"""),"ДПМ-3 исп.05 металлорукав из оцинкованной стали ПАШК.425119.021")</f>
        <v>ДПМ-3 исп.05 металлорукав из оцинкованной стали ПАШК.425119.021</v>
      </c>
      <c r="B1114" s="13" t="str">
        <f ca="1">IFERROR(__xludf.DUMMYFUNCTION("""COMPUTED_VALUE"""),"Датчик на металл переключающий оцинкованный металлорукав 700мм.")</f>
        <v>Датчик на металл переключающий оцинкованный металлорукав 700мм.</v>
      </c>
      <c r="C1114" s="14">
        <f ca="1">IFERROR(__xludf.DUMMYFUNCTION("""COMPUTED_VALUE"""),868.43295)</f>
        <v>868.43295000000001</v>
      </c>
      <c r="D1114" s="13"/>
    </row>
    <row r="1115" spans="1:4" ht="38.25">
      <c r="A1115" s="12" t="str">
        <f ca="1">IFERROR(__xludf.DUMMYFUNCTION("""COMPUTED_VALUE"""),"ДПМ-3 исп.05 металлорукав из нержавеющей стали ПАШК.425119.021")</f>
        <v>ДПМ-3 исп.05 металлорукав из нержавеющей стали ПАШК.425119.021</v>
      </c>
      <c r="B1115" s="13" t="str">
        <f ca="1">IFERROR(__xludf.DUMMYFUNCTION("""COMPUTED_VALUE"""),"Датчик на металл переключающий металлорукав из нержавеющей стали 700мм.")</f>
        <v>Датчик на металл переключающий металлорукав из нержавеющей стали 700мм.</v>
      </c>
      <c r="C1115" s="14">
        <f ca="1">IFERROR(__xludf.DUMMYFUNCTION("""COMPUTED_VALUE"""),1352.6205)</f>
        <v>1352.6205</v>
      </c>
      <c r="D1115" s="13"/>
    </row>
    <row r="1116" spans="1:4" ht="25.5">
      <c r="A1116" s="12" t="str">
        <f ca="1">IFERROR(__xludf.DUMMYFUNCTION("""COMPUTED_VALUE"""),"ДПМ-3 исп. 06 металлорукав из оцинкованной стали ПАШК.425119.021")</f>
        <v>ДПМ-3 исп. 06 металлорукав из оцинкованной стали ПАШК.425119.021</v>
      </c>
      <c r="B1116" s="13" t="str">
        <f ca="1">IFERROR(__xludf.DUMMYFUNCTION("""COMPUTED_VALUE"""),"Датчик напольный накладной на метал. Поверхностный, НР")</f>
        <v>Датчик напольный накладной на метал. Поверхностный, НР</v>
      </c>
      <c r="C1116" s="14">
        <f ca="1">IFERROR(__xludf.DUMMYFUNCTION("""COMPUTED_VALUE"""),428.043)</f>
        <v>428.04300000000001</v>
      </c>
      <c r="D1116" s="13"/>
    </row>
    <row r="1117" spans="1:4" ht="25.5">
      <c r="A1117" s="12" t="str">
        <f ca="1">IFERROR(__xludf.DUMMYFUNCTION("""COMPUTED_VALUE"""),"ДПМ-3 исп. 06 металлорукав из нержавеющей стали ПАШК.425119.021")</f>
        <v>ДПМ-3 исп. 06 металлорукав из нержавеющей стали ПАШК.425119.021</v>
      </c>
      <c r="B1117" s="13" t="str">
        <f ca="1">IFERROR(__xludf.DUMMYFUNCTION("""COMPUTED_VALUE"""),"Датчик напольный накладной на метал. Поверхностный, НР")</f>
        <v>Датчик напольный накладной на метал. Поверхностный, НР</v>
      </c>
      <c r="C1117" s="14">
        <f ca="1">IFERROR(__xludf.DUMMYFUNCTION("""COMPUTED_VALUE"""),903.49875)</f>
        <v>903.49874999999997</v>
      </c>
      <c r="D1117" s="13"/>
    </row>
    <row r="1118" spans="1:4" ht="25.5">
      <c r="A1118" s="12" t="str">
        <f ca="1">IFERROR(__xludf.DUMMYFUNCTION("""COMPUTED_VALUE"""),"ДПМ-3 исп. 07 металлорукав из оцинкованной стали ПАШК.425119.021")</f>
        <v>ДПМ-3 исп. 07 металлорукав из оцинкованной стали ПАШК.425119.021</v>
      </c>
      <c r="B1118" s="13" t="str">
        <f ca="1">IFERROR(__xludf.DUMMYFUNCTION("""COMPUTED_VALUE"""),"Напольный накладной на метал. поверхностный, перекл.")</f>
        <v>Напольный накладной на метал. поверхностный, перекл.</v>
      </c>
      <c r="C1118" s="14">
        <f ca="1">IFERROR(__xludf.DUMMYFUNCTION("""COMPUTED_VALUE"""),824.1156)</f>
        <v>824.11559999999997</v>
      </c>
      <c r="D1118" s="13"/>
    </row>
    <row r="1119" spans="1:4" ht="25.5">
      <c r="A1119" s="12" t="str">
        <f ca="1">IFERROR(__xludf.DUMMYFUNCTION("""COMPUTED_VALUE"""),"ДПМ-3 исп. 07 металлорукав из нержавеющей стали ПАШК.425119.021")</f>
        <v>ДПМ-3 исп. 07 металлорукав из нержавеющей стали ПАШК.425119.021</v>
      </c>
      <c r="B1119" s="13" t="str">
        <f ca="1">IFERROR(__xludf.DUMMYFUNCTION("""COMPUTED_VALUE"""),"Напольный накладной на метал. поверхностный, перекл.")</f>
        <v>Напольный накладной на метал. поверхностный, перекл.</v>
      </c>
      <c r="C1119" s="14">
        <f ca="1">IFERROR(__xludf.DUMMYFUNCTION("""COMPUTED_VALUE"""),1308.64965)</f>
        <v>1308.6496500000001</v>
      </c>
      <c r="D1119" s="13"/>
    </row>
    <row r="1120" spans="1:4" ht="38.25">
      <c r="A1120" s="12" t="str">
        <f ca="1">IFERROR(__xludf.DUMMYFUNCTION("""COMPUTED_VALUE"""),"ПБМ АТФЕ.425119.070")</f>
        <v>ПБМ АТФЕ.425119.070</v>
      </c>
      <c r="B1120" s="13" t="str">
        <f ca="1">IFERROR(__xludf.DUMMYFUNCTION("""COMPUTED_VALUE"""),"Переключатель бесшумный магнито-контактный, ручной. Габаритные размеры: 53х17х8 мм")</f>
        <v>Переключатель бесшумный магнито-контактный, ручной. Габаритные размеры: 53х17х8 мм</v>
      </c>
      <c r="C1120" s="14">
        <f ca="1">IFERROR(__xludf.DUMMYFUNCTION("""COMPUTED_VALUE"""),1141.998)</f>
        <v>1141.998</v>
      </c>
      <c r="D1120" s="13"/>
    </row>
    <row r="1121" spans="1:4" ht="38.25">
      <c r="A1121" s="12" t="str">
        <f ca="1">IFERROR(__xludf.DUMMYFUNCTION("""COMPUTED_VALUE"""),"ИО 101-5/1 Черепаха-1 ПАШК.425119.003")</f>
        <v>ИО 101-5/1 Черепаха-1 ПАШК.425119.003</v>
      </c>
      <c r="B1121" s="13" t="str">
        <f ca="1">IFERROR(__xludf.DUMMYFUNCTION("""COMPUTED_VALUE"""),"Педаль метал. БЕСШУМНАЯ с памятью и световой индикацией. Извещатель охранный. Ручной-ножной.")</f>
        <v>Педаль метал. БЕСШУМНАЯ с памятью и световой индикацией. Извещатель охранный. Ручной-ножной.</v>
      </c>
      <c r="C1121" s="14">
        <f ca="1">IFERROR(__xludf.DUMMYFUNCTION("""COMPUTED_VALUE"""),8676.75)</f>
        <v>8676.75</v>
      </c>
      <c r="D1121" s="13"/>
    </row>
    <row r="1122" spans="1:4" ht="51">
      <c r="A1122" s="12" t="str">
        <f ca="1">IFERROR(__xludf.DUMMYFUNCTION("""COMPUTED_VALUE"""),"ИО 101-5/1М Черепаха-1М ПАШК.425119.043")</f>
        <v>ИО 101-5/1М Черепаха-1М ПАШК.425119.043</v>
      </c>
      <c r="B1122" s="13" t="str">
        <f ca="1">IFERROR(__xludf.DUMMYFUNCTION("""COMPUTED_VALUE"""),"Педаль метал. МИНИАТЮРНАЯ БЕСШУМНАЯ с памятью и световой индикацией. Извещатель охранный. Ручной-ножной.")</f>
        <v>Педаль метал. МИНИАТЮРНАЯ БЕСШУМНАЯ с памятью и световой индикацией. Извещатель охранный. Ручной-ножной.</v>
      </c>
      <c r="C1122" s="14">
        <f ca="1">IFERROR(__xludf.DUMMYFUNCTION("""COMPUTED_VALUE"""),5560.25)</f>
        <v>5560.25</v>
      </c>
      <c r="D1122" s="13"/>
    </row>
    <row r="1123" spans="1:4" ht="38.25">
      <c r="A1123" s="12" t="str">
        <f ca="1">IFERROR(__xludf.DUMMYFUNCTION("""COMPUTED_VALUE"""),"ИО 101-5/2 Черепаха-2 ПАШК.425119.043")</f>
        <v>ИО 101-5/2 Черепаха-2 ПАШК.425119.043</v>
      </c>
      <c r="B1123" s="13" t="str">
        <f ca="1">IFERROR(__xludf.DUMMYFUNCTION("""COMPUTED_VALUE"""),"Педаль метал. АНТИВАНДАЛЬНАЯ с памятью и световой индикацией. Извещатель охранный. Ручной-ножной.")</f>
        <v>Педаль метал. АНТИВАНДАЛЬНАЯ с памятью и световой индикацией. Извещатель охранный. Ручной-ножной.</v>
      </c>
      <c r="C1123" s="14">
        <f ca="1">IFERROR(__xludf.DUMMYFUNCTION("""COMPUTED_VALUE"""),12247.5023)</f>
        <v>12247.5023</v>
      </c>
      <c r="D1123" s="13"/>
    </row>
    <row r="1124" spans="1:4" ht="51">
      <c r="A1124" s="12" t="str">
        <f ca="1">IFERROR(__xludf.DUMMYFUNCTION("""COMPUTED_VALUE"""),"ИО 101-5/2С Черепаха-2С ПАШК.425119.043")</f>
        <v>ИО 101-5/2С Черепаха-2С ПАШК.425119.043</v>
      </c>
      <c r="B1124" s="13" t="str">
        <f ca="1">IFERROR(__xludf.DUMMYFUNCTION("""COMPUTED_VALUE"""),"Педаль метал. АНТИВАНДАЛЬНАЯ. Извещатель охранный . Ручной-ножной. Мах напр. не более 24В, Мах ток не более 1А.")</f>
        <v>Педаль метал. АНТИВАНДАЛЬНАЯ. Извещатель охранный . Ручной-ножной. Мах напр. не более 24В, Мах ток не более 1А.</v>
      </c>
      <c r="C1124" s="14">
        <f ca="1">IFERROR(__xludf.DUMMYFUNCTION("""COMPUTED_VALUE"""),12759.25)</f>
        <v>12759.25</v>
      </c>
      <c r="D1124" s="13"/>
    </row>
    <row r="1125" spans="1:4" ht="25.5">
      <c r="A1125" s="12" t="str">
        <f ca="1">IFERROR(__xludf.DUMMYFUNCTION("""COMPUTED_VALUE"""),"Педаль ФС-1 ПАШК.425119.044")</f>
        <v>Педаль ФС-1 ПАШК.425119.044</v>
      </c>
      <c r="B1125" s="13" t="str">
        <f ca="1">IFERROR(__xludf.DUMMYFUNCTION("""COMPUTED_VALUE"""),"Металическая педаль без фиксации с герконом .20мВ-72В, 1мА-0.5А.")</f>
        <v>Металическая педаль без фиксации с герконом .20мВ-72В, 1мА-0.5А.</v>
      </c>
      <c r="C1125" s="14">
        <f ca="1">IFERROR(__xludf.DUMMYFUNCTION("""COMPUTED_VALUE"""),6787.3)</f>
        <v>6787.3</v>
      </c>
      <c r="D1125" s="13"/>
    </row>
    <row r="1126" spans="1:4" ht="25.5">
      <c r="A1126" s="12" t="str">
        <f ca="1">IFERROR(__xludf.DUMMYFUNCTION("""COMPUTED_VALUE"""),"Педаль ФС-1-5 ПАШК.425119.044")</f>
        <v>Педаль ФС-1-5 ПАШК.425119.044</v>
      </c>
      <c r="B1126" s="13" t="str">
        <f ca="1">IFERROR(__xludf.DUMMYFUNCTION("""COMPUTED_VALUE"""),"Металлическая педаль без фиксации мех. контакт,Мах U -250В, Мах I- 5 А")</f>
        <v>Металлическая педаль без фиксации мех. контакт,Мах U -250В, Мах I- 5 А</v>
      </c>
      <c r="C1126" s="14">
        <f ca="1">IFERROR(__xludf.DUMMYFUNCTION("""COMPUTED_VALUE"""),6787.3)</f>
        <v>6787.3</v>
      </c>
      <c r="D1126" s="13"/>
    </row>
    <row r="1127" spans="1:4" ht="25.5">
      <c r="A1127" s="12" t="str">
        <f ca="1">IFERROR(__xludf.DUMMYFUNCTION("""COMPUTED_VALUE"""),"Педаль ФС-1М ПАШК.425119.044")</f>
        <v>Педаль ФС-1М ПАШК.425119.044</v>
      </c>
      <c r="B1127" s="13" t="str">
        <f ca="1">IFERROR(__xludf.DUMMYFUNCTION("""COMPUTED_VALUE"""),"Миниатюрная металл. педаль без фиксации.U 20мВ-72В, I 1мА- 0.5А.")</f>
        <v>Миниатюрная металл. педаль без фиксации.U 20мВ-72В, I 1мА- 0.5А.</v>
      </c>
      <c r="C1127" s="14">
        <f ca="1">IFERROR(__xludf.DUMMYFUNCTION("""COMPUTED_VALUE"""),5444.21845)</f>
        <v>5444.2184500000003</v>
      </c>
      <c r="D1127" s="13"/>
    </row>
    <row r="1128" spans="1:4" ht="25.5">
      <c r="A1128" s="12" t="str">
        <f ca="1">IFERROR(__xludf.DUMMYFUNCTION("""COMPUTED_VALUE"""),"Педаль ФС-2 ПАШК.425119.044")</f>
        <v>Педаль ФС-2 ПАШК.425119.044</v>
      </c>
      <c r="B1128" s="13" t="str">
        <f ca="1">IFERROR(__xludf.DUMMYFUNCTION("""COMPUTED_VALUE"""),"Металлическая педаль без фиксации с герконом.U 20мВ- 72В, I 1мА -0.5А.")</f>
        <v>Металлическая педаль без фиксации с герконом.U 20мВ- 72В, I 1мА -0.5А.</v>
      </c>
      <c r="C1128" s="14">
        <f ca="1">IFERROR(__xludf.DUMMYFUNCTION("""COMPUTED_VALUE"""),6787.3)</f>
        <v>6787.3</v>
      </c>
      <c r="D1128" s="13"/>
    </row>
    <row r="1129" spans="1:4" ht="25.5">
      <c r="A1129" s="12" t="str">
        <f ca="1">IFERROR(__xludf.DUMMYFUNCTION("""COMPUTED_VALUE"""),"Педаль ФС-2-15 ПАШК.425119.044")</f>
        <v>Педаль ФС-2-15 ПАШК.425119.044</v>
      </c>
      <c r="B1129" s="13" t="str">
        <f ca="1">IFERROR(__xludf.DUMMYFUNCTION("""COMPUTED_VALUE"""),"Металлическая педаль без фиксации мех. контакт. Мах U -250В. Мах I -15А")</f>
        <v>Металлическая педаль без фиксации мех. контакт. Мах U -250В. Мах I -15А</v>
      </c>
      <c r="C1129" s="14">
        <f ca="1">IFERROR(__xludf.DUMMYFUNCTION("""COMPUTED_VALUE"""),6787.3)</f>
        <v>6787.3</v>
      </c>
      <c r="D1129" s="13"/>
    </row>
    <row r="1130" spans="1:4" ht="25.5">
      <c r="A1130" s="12" t="str">
        <f ca="1">IFERROR(__xludf.DUMMYFUNCTION("""COMPUTED_VALUE"""),"Сторож ПАШК.425723.002")</f>
        <v>Сторож ПАШК.425723.002</v>
      </c>
      <c r="B1130" s="13" t="str">
        <f ca="1">IFERROR(__xludf.DUMMYFUNCTION("""COMPUTED_VALUE"""),"Сигнализатор автономный тревожный охранный")</f>
        <v>Сигнализатор автономный тревожный охранный</v>
      </c>
      <c r="C1130" s="14">
        <f ca="1">IFERROR(__xludf.DUMMYFUNCTION("""COMPUTED_VALUE"""),1974.269)</f>
        <v>1974.269</v>
      </c>
      <c r="D1130" s="13"/>
    </row>
    <row r="1131" spans="1:4" ht="25.5">
      <c r="A1131" s="12" t="str">
        <f ca="1">IFERROR(__xludf.DUMMYFUNCTION("""COMPUTED_VALUE"""),"ВЗГ 290/45.500 ПАШК.425119.065 ТУ")</f>
        <v>ВЗГ 290/45.500 ПАШК.425119.065 ТУ</v>
      </c>
      <c r="B1131" s="13" t="str">
        <f ca="1">IFERROR(__xludf.DUMMYFUNCTION("""COMPUTED_VALUE"""),"Высокотемпературный замыкающий герконовый датчик, до 290°С")</f>
        <v>Высокотемпературный замыкающий герконовый датчик, до 290°С</v>
      </c>
      <c r="C1131" s="14" t="str">
        <f ca="1">IFERROR(__xludf.DUMMYFUNCTION("""COMPUTED_VALUE"""),"по запросу")</f>
        <v>по запросу</v>
      </c>
      <c r="D1131" s="13"/>
    </row>
    <row r="1132" spans="1:4" ht="25.5">
      <c r="A1132" s="12" t="str">
        <f ca="1">IFERROR(__xludf.DUMMYFUNCTION("""COMPUTED_VALUE"""),"ВЗГ 350/45.500 ПАШК.425119.026 ТУ")</f>
        <v>ВЗГ 350/45.500 ПАШК.425119.026 ТУ</v>
      </c>
      <c r="B1132" s="13" t="str">
        <f ca="1">IFERROR(__xludf.DUMMYFUNCTION("""COMPUTED_VALUE"""),"Высокотемпературный замыкающий герконовый датчик, до 350°С")</f>
        <v>Высокотемпературный замыкающий герконовый датчик, до 350°С</v>
      </c>
      <c r="C1132" s="14" t="str">
        <f ca="1">IFERROR(__xludf.DUMMYFUNCTION("""COMPUTED_VALUE"""),"по запросу")</f>
        <v>по запросу</v>
      </c>
      <c r="D1132" s="13"/>
    </row>
    <row r="1133" spans="1:4" ht="25.5">
      <c r="A1133" s="12" t="str">
        <f ca="1">IFERROR(__xludf.DUMMYFUNCTION("""COMPUTED_VALUE"""),"ВЗГ-1")</f>
        <v>ВЗГ-1</v>
      </c>
      <c r="B1133" s="13" t="str">
        <f ca="1">IFERROR(__xludf.DUMMYFUNCTION("""COMPUTED_VALUE"""),"Высокотемпературный замыкающий герконовый датчик, до 150°С")</f>
        <v>Высокотемпературный замыкающий герконовый датчик, до 150°С</v>
      </c>
      <c r="C1133" s="14" t="str">
        <f ca="1">IFERROR(__xludf.DUMMYFUNCTION("""COMPUTED_VALUE"""),"по запросу")</f>
        <v>по запросу</v>
      </c>
      <c r="D1133" s="13"/>
    </row>
    <row r="1134" spans="1:4" ht="25.5">
      <c r="A1134" s="12" t="str">
        <f ca="1">IFERROR(__xludf.DUMMYFUNCTION("""COMPUTED_VALUE"""),"ВПГ 300/63.500 ПАШК.425119.031 ТУ")</f>
        <v>ВПГ 300/63.500 ПАШК.425119.031 ТУ</v>
      </c>
      <c r="B1134" s="13" t="str">
        <f ca="1">IFERROR(__xludf.DUMMYFUNCTION("""COMPUTED_VALUE"""),"Высокотемпературный переключающий датчик, до 300°С")</f>
        <v>Высокотемпературный переключающий датчик, до 300°С</v>
      </c>
      <c r="C1134" s="14" t="str">
        <f ca="1">IFERROR(__xludf.DUMMYFUNCTION("""COMPUTED_VALUE"""),"по запросу")</f>
        <v>по запросу</v>
      </c>
      <c r="D1134" s="13"/>
    </row>
    <row r="1135" spans="1:4" ht="25.5">
      <c r="A1135" s="12" t="str">
        <f ca="1">IFERROR(__xludf.DUMMYFUNCTION("""COMPUTED_VALUE"""),"Коробка соединительная под ВПГ")</f>
        <v>Коробка соединительная под ВПГ</v>
      </c>
      <c r="B1135" s="13" t="str">
        <f ca="1">IFERROR(__xludf.DUMMYFUNCTION("""COMPUTED_VALUE"""),"Коробка соединительная под ВПГ")</f>
        <v>Коробка соединительная под ВПГ</v>
      </c>
      <c r="C1135" s="14" t="str">
        <f ca="1">IFERROR(__xludf.DUMMYFUNCTION("""COMPUTED_VALUE"""),"по запросу")</f>
        <v>по запросу</v>
      </c>
      <c r="D1135" s="13"/>
    </row>
    <row r="1136" spans="1:4" ht="38.25">
      <c r="A1136" s="12" t="str">
        <f ca="1">IFERROR(__xludf.DUMMYFUNCTION("""COMPUTED_VALUE"""),"ДУП ВПГ АТФЕ.425119.090")</f>
        <v>ДУП ВПГ АТФЕ.425119.090</v>
      </c>
      <c r="B1136" s="13" t="str">
        <f ca="1">IFERROR(__xludf.DUMMYFUNCTION("""COMPUTED_VALUE"""),"Геркон выносной переключающий. Вывод изготовлен из кабеля КСТПЭПнг-FRHF 4х0,5 длиной 3,5 метра.")</f>
        <v>Геркон выносной переключающий. Вывод изготовлен из кабеля КСТПЭПнг-FRHF 4х0,5 длиной 3,5 метра.</v>
      </c>
      <c r="C1136" s="14" t="str">
        <f ca="1">IFERROR(__xludf.DUMMYFUNCTION("""COMPUTED_VALUE"""),"по запросу")</f>
        <v>по запросу</v>
      </c>
      <c r="D1136" s="13"/>
    </row>
    <row r="1137" spans="1:4" ht="25.5">
      <c r="A1137" s="12" t="str">
        <f ca="1">IFERROR(__xludf.DUMMYFUNCTION("""COMPUTED_VALUE"""),"БКУ 290/45.500 ПАШК.425119.051 ТУ.")</f>
        <v>БКУ 290/45.500 ПАШК.425119.051 ТУ.</v>
      </c>
      <c r="B1137" s="13" t="str">
        <f ca="1">IFERROR(__xludf.DUMMYFUNCTION("""COMPUTED_VALUE"""),"Блок концевых указателей, БКУ 290/45.500")</f>
        <v>Блок концевых указателей, БКУ 290/45.500</v>
      </c>
      <c r="C1137" s="14" t="str">
        <f ca="1">IFERROR(__xludf.DUMMYFUNCTION("""COMPUTED_VALUE"""),"по запросу")</f>
        <v>по запросу</v>
      </c>
      <c r="D1137" s="13"/>
    </row>
    <row r="1138" spans="1:4" ht="102">
      <c r="A1138" s="12" t="str">
        <f ca="1">IFERROR(__xludf.DUMMYFUNCTION("""COMPUTED_VALUE"""),"ВБИПК (рабочая температура до 300 °С) ПАШК.425119.080")</f>
        <v>ВБИПК (рабочая температура до 300 °С) ПАШК.425119.080</v>
      </c>
      <c r="B1138" s="13" t="str">
        <f ca="1">IFERROR(__xludf.DUMMYFUNCTION("""COMPUTED_VALUE"""),"Выносной блок индикации положения клапана. предназначен для указания положения штока клапана путем выдачи дискретного информационного унифицированного сигнала уровня 4-20 мА. Конструктивно состоит из блока герконов (БГ) и блока преобразования сигналов (БП"&amp;"С)")</f>
        <v>Выносной блок индикации положения клапана. предназначен для указания положения штока клапана путем выдачи дискретного информационного унифицированного сигнала уровня 4-20 мА. Конструктивно состоит из блока герконов (БГ) и блока преобразования сигналов (БПС)</v>
      </c>
      <c r="C1138" s="14" t="str">
        <f ca="1">IFERROR(__xludf.DUMMYFUNCTION("""COMPUTED_VALUE"""),"по запросу")</f>
        <v>по запросу</v>
      </c>
      <c r="D1138" s="13"/>
    </row>
    <row r="1139" spans="1:4" ht="63.75">
      <c r="A1139" s="12" t="str">
        <f ca="1">IFERROR(__xludf.DUMMYFUNCTION("""COMPUTED_VALUE"""),"ИО 102-26/В исп.10 ""Аякс"" ОЕхiaIICT6 Ga Х IP66, РЗЦ ПАШК.425119.008")</f>
        <v>ИО 102-26/В исп.10 "Аякс" ОЕхiaIICT6 Ga Х IP66, РЗЦ ПАШК.425119.008</v>
      </c>
      <c r="B1139" s="13" t="str">
        <f ca="1">IFERROR(__xludf.DUMMYFUNCTION("""COMPUTED_VALUE"""),"Датчик на металл. взрывозащищенный. НР. оцинкованный металлорукав 750мм.* Производитель рекомендует использовать датчик вместе с коробкой соединительной УСБ-Ех ""Север""")</f>
        <v>Датчик на металл. взрывозащищенный. НР. оцинкованный металлорукав 750мм.* Производитель рекомендует использовать датчик вместе с коробкой соединительной УСБ-Ех "Север"</v>
      </c>
      <c r="C1139" s="14">
        <f ca="1">IFERROR(__xludf.DUMMYFUNCTION("""COMPUTED_VALUE"""),4878.72)</f>
        <v>4878.72</v>
      </c>
      <c r="D1139" s="13"/>
    </row>
    <row r="1140" spans="1:4" ht="63.75">
      <c r="A1140" s="12" t="str">
        <f ca="1">IFERROR(__xludf.DUMMYFUNCTION("""COMPUTED_VALUE"""),"ИО 102-26/В исп.10 ""Аякс"" ОЕхiaIICT6 Ga Х IP66, РЗН ПАШК.425119.008")</f>
        <v>ИО 102-26/В исп.10 "Аякс" ОЕхiaIICT6 Ga Х IP66, РЗН ПАШК.425119.008</v>
      </c>
      <c r="B1140" s="13" t="str">
        <f ca="1">IFERROR(__xludf.DUMMYFUNCTION("""COMPUTED_VALUE"""),"Датчик на металл. взрывозащищенный. НР. металлорукав из нержавеющей стали 750мм.* Производитель рекомендует использовать датчик вместе с коробкой соединительной УСБ-Ех ""Север""")</f>
        <v>Датчик на металл. взрывозащищенный. НР. металлорукав из нержавеющей стали 750мм.* Производитель рекомендует использовать датчик вместе с коробкой соединительной УСБ-Ех "Север"</v>
      </c>
      <c r="C1140" s="14">
        <f ca="1">IFERROR(__xludf.DUMMYFUNCTION("""COMPUTED_VALUE"""),5092.5)</f>
        <v>5092.5</v>
      </c>
      <c r="D1140" s="13"/>
    </row>
    <row r="1141" spans="1:4" ht="76.5">
      <c r="A1141" s="12" t="str">
        <f ca="1">IFERROR(__xludf.DUMMYFUNCTION("""COMPUTED_VALUE"""),"ИО 102-26/В исп.10 ""Аякс"" ОЕхiaIICT6 Ga Х IP66, Черный, РЗЦ ПАШК.425119.008")</f>
        <v>ИО 102-26/В исп.10 "Аякс" ОЕхiaIICT6 Ga Х IP66, Черный, РЗЦ ПАШК.425119.008</v>
      </c>
      <c r="B1141" s="13" t="str">
        <f ca="1">IFERROR(__xludf.DUMMYFUNCTION("""COMPUTED_VALUE"""),"Датчик на металл. взрывозащищенный. НР. из антистатичного пластика черного цвета, оцинкованный металлорукав 750мм.* Производитель рекомендует использовать датчик вместе с коробкой соединительной УСБ-Ех ""Север""")</f>
        <v>Датчик на металл. взрывозащищенный. НР. из антистатичного пластика черного цвета, оцинкованный металлорукав 750мм.* Производитель рекомендует использовать датчик вместе с коробкой соединительной УСБ-Ех "Север"</v>
      </c>
      <c r="C1141" s="14">
        <f ca="1">IFERROR(__xludf.DUMMYFUNCTION("""COMPUTED_VALUE"""),5355)</f>
        <v>5355</v>
      </c>
      <c r="D1141" s="13"/>
    </row>
    <row r="1142" spans="1:4" ht="89.25">
      <c r="A1142" s="12" t="str">
        <f ca="1">IFERROR(__xludf.DUMMYFUNCTION("""COMPUTED_VALUE"""),"ИО 102-26/В исп.10 ""Аякс"" ОЕхiaIICT6 Ga Х IP66, Черный, РЗН ПАШК.425119.008")</f>
        <v>ИО 102-26/В исп.10 "Аякс" ОЕхiaIICT6 Ga Х IP66, Черный, РЗН ПАШК.425119.008</v>
      </c>
      <c r="B1142" s="13" t="str">
        <f ca="1">IFERROR(__xludf.DUMMYFUNCTION("""COMPUTED_VALUE"""),"Датчик на металл. взрывозащищенный. НР.из антистатичного пластика черного цвета, металлорукав из нержавеющей стали 750мм.* Производитель рекомендует использовать датчик вместе с коробкой соединительной УСБ-Ех ""Север""")</f>
        <v>Датчик на металл. взрывозащищенный. НР.из антистатичного пластика черного цвета, металлорукав из нержавеющей стали 750мм.* Производитель рекомендует использовать датчик вместе с коробкой соединительной УСБ-Ех "Север"</v>
      </c>
      <c r="C1142" s="14">
        <f ca="1">IFERROR(__xludf.DUMMYFUNCTION("""COMPUTED_VALUE"""),5527.2)</f>
        <v>5527.2</v>
      </c>
      <c r="D1142" s="13"/>
    </row>
    <row r="1143" spans="1:4" ht="76.5">
      <c r="A1143" s="12" t="str">
        <f ca="1">IFERROR(__xludf.DUMMYFUNCTION("""COMPUTED_VALUE"""),"ИО 102-26/В исп.20 ""Аякс"" ОЕхiaIICT6 Ga Х IP66, РЗЦ ПАШК.425119.008")</f>
        <v>ИО 102-26/В исп.20 "Аякс" ОЕхiaIICT6 Ga Х IP66, РЗЦ ПАШК.425119.008</v>
      </c>
      <c r="B1143" s="13" t="str">
        <f ca="1">IFERROR(__xludf.DUMMYFUNCTION("""COMPUTED_VALUE"""),"Датчик на металл. взрывозащищенный. переключающий, оцинкованный металлорукав 750мм.*Производитель рекомендует использовать датчик вместе с коробкой соединительной УСБ-Ех ""Север""")</f>
        <v>Датчик на металл. взрывозащищенный. переключающий, оцинкованный металлорукав 750мм.*Производитель рекомендует использовать датчик вместе с коробкой соединительной УСБ-Ех "Север"</v>
      </c>
      <c r="C1143" s="14">
        <f ca="1">IFERROR(__xludf.DUMMYFUNCTION("""COMPUTED_VALUE"""),6486.0411)</f>
        <v>6486.0411000000004</v>
      </c>
      <c r="D1143" s="13"/>
    </row>
    <row r="1144" spans="1:4" ht="76.5">
      <c r="A1144" s="12" t="str">
        <f ca="1">IFERROR(__xludf.DUMMYFUNCTION("""COMPUTED_VALUE"""),"ИО 102-26/В исп.20 ""Аякс"" ОЕхiaIICT6 Ga Х IP66, РЗН ПАШК.425119.008")</f>
        <v>ИО 102-26/В исп.20 "Аякс" ОЕхiaIICT6 Ga Х IP66, РЗН ПАШК.425119.008</v>
      </c>
      <c r="B1144" s="13" t="str">
        <f ca="1">IFERROR(__xludf.DUMMYFUNCTION("""COMPUTED_VALUE"""),"Датчик на металл. взрывозащищенный. переключающий , металлорукав из нержавеющей стали 750мм.*Производитель рекомендует использовать датчик вместе с коробкой соединительной УСБ-Ех ""Север""")</f>
        <v>Датчик на металл. взрывозащищенный. переключающий , металлорукав из нержавеющей стали 750мм.*Производитель рекомендует использовать датчик вместе с коробкой соединительной УСБ-Ех "Север"</v>
      </c>
      <c r="C1144" s="14">
        <f ca="1">IFERROR(__xludf.DUMMYFUNCTION("""COMPUTED_VALUE"""),6751.5)</f>
        <v>6751.5</v>
      </c>
      <c r="D1144" s="13"/>
    </row>
    <row r="1145" spans="1:4" ht="89.25">
      <c r="A1145" s="12" t="str">
        <f ca="1">IFERROR(__xludf.DUMMYFUNCTION("""COMPUTED_VALUE"""),"ИО 102-26/В исп.20 ""Аякс"" ОЕхiaIICT6 Ga Х IP66, Черный, РЗЦ ПАШК.425119.008")</f>
        <v>ИО 102-26/В исп.20 "Аякс" ОЕхiaIICT6 Ga Х IP66, Черный, РЗЦ ПАШК.425119.008</v>
      </c>
      <c r="B1145" s="13" t="str">
        <f ca="1">IFERROR(__xludf.DUMMYFUNCTION("""COMPUTED_VALUE"""),"Датчик на металл. взрывозащищенный. переключающий, из антистатичного пластика черного цвета, оцинкованный металлорукав 750мм.*Производитель рекомендует использовать датчик вместе с коробкой соединительной УСБ-Ех ""Север""")</f>
        <v>Датчик на металл. взрывозащищенный. переключающий, из антистатичного пластика черного цвета, оцинкованный металлорукав 750мм.*Производитель рекомендует использовать датчик вместе с коробкой соединительной УСБ-Ех "Север"</v>
      </c>
      <c r="C1145" s="14">
        <f ca="1">IFERROR(__xludf.DUMMYFUNCTION("""COMPUTED_VALUE"""),7002.45)</f>
        <v>7002.45</v>
      </c>
      <c r="D1145" s="13"/>
    </row>
    <row r="1146" spans="1:4" ht="89.25">
      <c r="A1146" s="12" t="str">
        <f ca="1">IFERROR(__xludf.DUMMYFUNCTION("""COMPUTED_VALUE"""),"ИО 102-26/В исп.20 ""Аякс"" ОЕхiaIICT6 Ga Х IP66, Черный, РЗН ПАШК.425119.008")</f>
        <v>ИО 102-26/В исп.20 "Аякс" ОЕхiaIICT6 Ga Х IP66, Черный, РЗН ПАШК.425119.008</v>
      </c>
      <c r="B1146" s="13" t="str">
        <f ca="1">IFERROR(__xludf.DUMMYFUNCTION("""COMPUTED_VALUE"""),"Датчик на металл. взрывозащищенный. переключающий, из антистатичного пластика черного цвета, металлорукав из нержавеющей стали 750мм.*Производитель рекомендует использовать датчик вместе с коробкой соединительной УСБ-Ех ""Север""")</f>
        <v>Датчик на металл. взрывозащищенный. переключающий, из антистатичного пластика черного цвета, металлорукав из нержавеющей стали 750мм.*Производитель рекомендует использовать датчик вместе с коробкой соединительной УСБ-Ех "Север"</v>
      </c>
      <c r="C1146" s="14">
        <f ca="1">IFERROR(__xludf.DUMMYFUNCTION("""COMPUTED_VALUE"""),7483.35)</f>
        <v>7483.35</v>
      </c>
      <c r="D1146" s="13"/>
    </row>
    <row r="1147" spans="1:4" ht="76.5">
      <c r="A1147" s="12" t="str">
        <f ca="1">IFERROR(__xludf.DUMMYFUNCTION("""COMPUTED_VALUE"""),"ИО 102-26/В исп.30 ""Аякс"" ОЕхiaIICT6 Ga Х IP66 ПАШК.425119.008")</f>
        <v>ИО 102-26/В исп.30 "Аякс" ОЕхiaIICT6 Ga Х IP66 ПАШК.425119.008</v>
      </c>
      <c r="B1147" s="13" t="str">
        <f ca="1">IFERROR(__xludf.DUMMYFUNCTION("""COMPUTED_VALUE"""),"Датчик на металл, исп. ВЗРЫВОБЕЗОПАСНОЕ , НР, МГШВЭ 2х0,35, вывод 2,5м*. Производитель рекомендует использовать датчик вместе с коробкой соединительной УСБ-Ех ""Север""")</f>
        <v>Датчик на металл, исп. ВЗРЫВОБЕЗОПАСНОЕ , НР, МГШВЭ 2х0,35, вывод 2,5м*. Производитель рекомендует использовать датчик вместе с коробкой соединительной УСБ-Ех "Север"</v>
      </c>
      <c r="C1147" s="14">
        <f ca="1">IFERROR(__xludf.DUMMYFUNCTION("""COMPUTED_VALUE"""),6825)</f>
        <v>6825</v>
      </c>
      <c r="D1147" s="13"/>
    </row>
    <row r="1148" spans="1:4" ht="89.25">
      <c r="A1148" s="12" t="str">
        <f ca="1">IFERROR(__xludf.DUMMYFUNCTION("""COMPUTED_VALUE"""),"ИО 102-26/В исп.30 ""Аякс"" ОЕхiaIICT6 Ga Х IP66, Черный ПАШК.425119.008")</f>
        <v>ИО 102-26/В исп.30 "Аякс" ОЕхiaIICT6 Ga Х IP66, Черный ПАШК.425119.008</v>
      </c>
      <c r="B1148" s="13" t="str">
        <f ca="1">IFERROR(__xludf.DUMMYFUNCTION("""COMPUTED_VALUE"""),"Датчик на металл, исп. ВЗРЫВОБЕЗОПАСНОЕ , НР, из антистатичного пластика черного цвета МГШВЭ 2х0,35, вывод 2,5м*. Производитель рекомендует использовать датчик вместе с коробкой соединительной УСБ-Ех ""Север""""")</f>
        <v>Датчик на металл, исп. ВЗРЫВОБЕЗОПАСНОЕ , НР, из антистатичного пластика черного цвета МГШВЭ 2х0,35, вывод 2,5м*. Производитель рекомендует использовать датчик вместе с коробкой соединительной УСБ-Ех "Север""</v>
      </c>
      <c r="C1148" s="14">
        <f ca="1">IFERROR(__xludf.DUMMYFUNCTION("""COMPUTED_VALUE"""),7185.15)</f>
        <v>7185.15</v>
      </c>
      <c r="D1148" s="13"/>
    </row>
    <row r="1149" spans="1:4" ht="89.25">
      <c r="A1149" s="12" t="str">
        <f ca="1">IFERROR(__xludf.DUMMYFUNCTION("""COMPUTED_VALUE"""),"ИО 102-26/В исп.40 ""Аякс"" ОЕхiaIICT6 Ga Х IP66 ПАШК.425119.008")</f>
        <v>ИО 102-26/В исп.40 "Аякс" ОЕхiaIICT6 Ga Х IP66 ПАШК.425119.008</v>
      </c>
      <c r="B1149" s="13" t="str">
        <f ca="1">IFERROR(__xludf.DUMMYFUNCTION("""COMPUTED_VALUE"""),"Датчик на металл, исп. ВЗРЫВОБЕЗОПАСНОЕ , ПЕРЕКЛЮЧАЮЩИЙ, провод МГШВЭ 3х0,35, вывод 2,5м*.Производитель рекомендует использовать датчик вместе с коробкой соединительной УСБ-Ех ""Север""")</f>
        <v>Датчик на металл, исп. ВЗРЫВОБЕЗОПАСНОЕ , ПЕРЕКЛЮЧАЮЩИЙ, провод МГШВЭ 3х0,35, вывод 2,5м*.Производитель рекомендует использовать датчик вместе с коробкой соединительной УСБ-Ех "Север"</v>
      </c>
      <c r="C1149" s="14">
        <f ca="1">IFERROR(__xludf.DUMMYFUNCTION("""COMPUTED_VALUE"""),8484)</f>
        <v>8484</v>
      </c>
      <c r="D1149" s="13"/>
    </row>
    <row r="1150" spans="1:4" ht="102">
      <c r="A1150" s="12" t="str">
        <f ca="1">IFERROR(__xludf.DUMMYFUNCTION("""COMPUTED_VALUE"""),"ИО 102-26/В исп.40 ""Аякс"" ОЕхiaIICT6 Ga Х IP66, Черный ПАШК.425119.008")</f>
        <v>ИО 102-26/В исп.40 "Аякс" ОЕхiaIICT6 Ga Х IP66, Черный ПАШК.425119.008</v>
      </c>
      <c r="B1150" s="13" t="str">
        <f ca="1">IFERROR(__xludf.DUMMYFUNCTION("""COMPUTED_VALUE"""),"Датчик на металл, исп. ВЗРЫВОБЕЗОПАСНОЕ , ПЕРЕКЛЮЧАЮЩИЙ, из антистатичного пластика черного цвета, провод МГШВЭ 3х0,35, вывод 2,5м*.Производитель рекомендует использовать датчик вместе с коробкой соединительной УСБ-Ех ""Север""")</f>
        <v>Датчик на металл, исп. ВЗРЫВОБЕЗОПАСНОЕ , ПЕРЕКЛЮЧАЮЩИЙ, из антистатичного пластика черного цвета, провод МГШВЭ 3х0,35, вывод 2,5м*.Производитель рекомендует использовать датчик вместе с коробкой соединительной УСБ-Ех "Север"</v>
      </c>
      <c r="C1150" s="14">
        <f ca="1">IFERROR(__xludf.DUMMYFUNCTION("""COMPUTED_VALUE"""),8715)</f>
        <v>8715</v>
      </c>
      <c r="D1150" s="13"/>
    </row>
    <row r="1151" spans="1:4" ht="76.5">
      <c r="A1151" s="12" t="str">
        <f ca="1">IFERROR(__xludf.DUMMYFUNCTION("""COMPUTED_VALUE"""),"ИО 102-26/В исп.210 ОЕхiaIICT6 Ga Х, РЗН ПАШК.425119.008")</f>
        <v>ИО 102-26/В исп.210 ОЕхiaIICT6 Ga Х, РЗН ПАШК.425119.008</v>
      </c>
      <c r="B1151" s="13" t="str">
        <f ca="1">IFERROR(__xludf.DUMMYFUNCTION("""COMPUTED_VALUE"""),"Корпус-НЕРЖАВЕЙКА, НР, на металл, ВЗРЫВОЗАЩИЩЁННЫЙ, раст.сраб. 70 мм, металлорукав из нержавеющей стали 1000 мм.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 раст.сраб. 70 мм, металлорукав из нержавеющей стали 1000 мм. Производитель рекомендует использовать датчик вместе с коробкой соединительной УСБ-Ех "Север". </v>
      </c>
      <c r="C1151" s="14">
        <f ca="1">IFERROR(__xludf.DUMMYFUNCTION("""COMPUTED_VALUE"""),21950)</f>
        <v>21950</v>
      </c>
      <c r="D1151" s="13"/>
    </row>
    <row r="1152" spans="1:4" ht="89.25">
      <c r="A1152" s="12" t="str">
        <f ca="1">IFERROR(__xludf.DUMMYFUNCTION("""COMPUTED_VALUE"""),"ИО 102-26/В исп.220 ОЕхiaIICT6 Ga Х, РЗН ПАШК.425119.008")</f>
        <v>ИО 102-26/В исп.220 ОЕхiaIICT6 Ga Х, РЗН ПАШК.425119.008</v>
      </c>
      <c r="B1152" s="13" t="str">
        <f ca="1">IFERROR(__xludf.DUMMYFUNCTION("""COMPUTED_VALUE"""),"Корпус-НЕРЖАВЕЙКА, переключающий, на металл, ВЗРЫВОЗАЩИЩЁННЫЙ, раст.сраб 70 мм, металлорукав из нержавеющей стали , 1000 мм. Производитель рекомендует использовать датчик вместе с коробкой соединительной УСБ-Ех ""Север"". ")</f>
        <v xml:space="preserve">Корпус-НЕРЖАВЕЙКА, переключающий, на металл, ВЗРЫВОЗАЩИЩЁННЫЙ, раст.сраб 70 мм, металлорукав из нержавеющей стали , 1000 мм. Производитель рекомендует использовать датчик вместе с коробкой соединительной УСБ-Ех "Север". </v>
      </c>
      <c r="C1152" s="14">
        <f ca="1">IFERROR(__xludf.DUMMYFUNCTION("""COMPUTED_VALUE"""),21973)</f>
        <v>21973</v>
      </c>
      <c r="D1152" s="13"/>
    </row>
    <row r="1153" spans="1:4" ht="76.5">
      <c r="A1153" s="12" t="str">
        <f ca="1">IFERROR(__xludf.DUMMYFUNCTION("""COMPUTED_VALUE"""),"ИО 102-26/В исп.230 ОЕхiaIICT6 Ga Х ПАШК.425119.008")</f>
        <v>ИО 102-26/В исп.230 ОЕхiaIICT6 Ga Х ПАШК.425119.008</v>
      </c>
      <c r="B1153" s="13" t="str">
        <f ca="1">IFERROR(__xludf.DUMMYFUNCTION("""COMPUTED_VALUE"""),"Корпус-НЕРЖАВЕЙКА, НР, на металл, ВЗРЫВОЗАЩИЩЁННЫЙ, расст.сраб.70мм, провод 1000 мм, двойная изоляция.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 расст.сраб.70мм, провод 1000 мм, двойная изоляция. Производитель рекомендует использовать датчик вместе с коробкой соединительной УСБ-Ех "Север". </v>
      </c>
      <c r="C1153" s="14">
        <f ca="1">IFERROR(__xludf.DUMMYFUNCTION("""COMPUTED_VALUE"""),20947.25)</f>
        <v>20947.25</v>
      </c>
      <c r="D1153" s="13"/>
    </row>
    <row r="1154" spans="1:4" ht="89.25">
      <c r="A1154" s="12" t="str">
        <f ca="1">IFERROR(__xludf.DUMMYFUNCTION("""COMPUTED_VALUE"""),"ИО 102-26/В исп.240 ОЕхiaIICT6 Ga Х ПАШК.425119.008")</f>
        <v>ИО 102-26/В исп.240 ОЕхiaIICT6 Ga Х ПАШК.425119.008</v>
      </c>
      <c r="B1154" s="13" t="str">
        <f ca="1">IFERROR(__xludf.DUMMYFUNCTION("""COMPUTED_VALUE"""),"Корпус-НЕРЖАВЕЙКА, переключающий, на металл, ВЗРЫВОЗАЩИЩЁННЫЙ, раст.сраб. 70 мм, провод 1000 мм, двойная изоляция. Производитель рекомендует использовать датчик вместе с коробкой соединительной УСБ-Ех ""Север"". ")</f>
        <v xml:space="preserve">Корпус-НЕРЖАВЕЙКА, переключающий, на металл, ВЗРЫВОЗАЩИЩЁННЫЙ, раст.сраб. 70 мм, провод 1000 мм, двойная изоляция. Производитель рекомендует использовать датчик вместе с коробкой соединительной УСБ-Ех "Север". </v>
      </c>
      <c r="C1154" s="14">
        <f ca="1">IFERROR(__xludf.DUMMYFUNCTION("""COMPUTED_VALUE"""),21505)</f>
        <v>21505</v>
      </c>
      <c r="D1154" s="13"/>
    </row>
    <row r="1155" spans="1:4" ht="76.5">
      <c r="A1155" s="12" t="str">
        <f ca="1">IFERROR(__xludf.DUMMYFUNCTION("""COMPUTED_VALUE"""),"ИО 102-26/В исп.250 ОЕхiaIICT6 Ga Х ПАШК.425119.008")</f>
        <v>ИО 102-26/В исп.250 ОЕхiaIICT6 Ga Х ПАШК.425119.008</v>
      </c>
      <c r="B1155" s="13" t="str">
        <f ca="1">IFERROR(__xludf.DUMMYFUNCTION("""COMPUTED_VALUE"""),"Корпус-НЕРЖАВЕЙКА, НР, на металл, ВЗРЫВОЗАЩИЩЁННЫЙ,раст.сраб 100 мм, вывод 1000 мм, двойная изоляция.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ВЗРЫВОЗАЩИЩЁННЫЙ,раст.сраб 100 мм, вывод 1000 мм, двойная изоляция. Производитель рекомендует использовать датчик вместе с коробкой соединительной УСБ-Ех "Север". </v>
      </c>
      <c r="C1155" s="14">
        <f ca="1">IFERROR(__xludf.DUMMYFUNCTION("""COMPUTED_VALUE"""),23040.59615)</f>
        <v>23040.596150000001</v>
      </c>
      <c r="D1155" s="13"/>
    </row>
    <row r="1156" spans="1:4" ht="89.25">
      <c r="A1156" s="12" t="str">
        <f ca="1">IFERROR(__xludf.DUMMYFUNCTION("""COMPUTED_VALUE"""),"ИО 102-26/В исп.251 ОЕхiaIICT6 Ga Х, РЗН ПАШК.425119.008")</f>
        <v>ИО 102-26/В исп.251 ОЕхiaIICT6 Ga Х, РЗН ПАШК.425119.008</v>
      </c>
      <c r="B1156" s="13" t="str">
        <f ca="1">IFERROR(__xludf.DUMMYFUNCTION("""COMPUTED_VALUE"""),"Корпус-НЕРЖАВЕЙКА, НР, на металл, ВЗРЫВОЗАЩИЩЁННЫЙ, раст.сраб. 100 мм, вывод 1000 мм, металлорукав из нержавеющей стали.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 раст.сраб. 100 мм, вывод 1000 мм, металлорукав из нержавеющей стали. Производитель рекомендует использовать датчик вместе с коробкой соединительной УСБ-Ех "Север". </v>
      </c>
      <c r="C1156" s="14">
        <f ca="1">IFERROR(__xludf.DUMMYFUNCTION("""COMPUTED_VALUE"""),28380)</f>
        <v>28380</v>
      </c>
      <c r="D1156" s="13"/>
    </row>
    <row r="1157" spans="1:4" ht="63.75">
      <c r="A1157" s="12" t="str">
        <f ca="1">IFERROR(__xludf.DUMMYFUNCTION("""COMPUTED_VALUE"""),"ДИМК / В 0Ex ia IIC T6 Ga Х ПАШК.425119.016")</f>
        <v>ДИМК / В 0Ex ia IIC T6 Ga Х ПАШК.425119.016</v>
      </c>
      <c r="B1157" s="13" t="str">
        <f ca="1">IFERROR(__xludf.DUMMYFUNCTION("""COMPUTED_VALUE"""),"Датчик разрушения стекла исп. ВЗРЫВОБЕЗОПАСНОЕ . Производитель рекомендует использовать датчик вместе с коробкой соединительной УСБ-Ех ""Север""")</f>
        <v>Датчик разрушения стекла исп. ВЗРЫВОБЕЗОПАСНОЕ . Производитель рекомендует использовать датчик вместе с коробкой соединительной УСБ-Ех "Север"</v>
      </c>
      <c r="C1157" s="14">
        <f ca="1">IFERROR(__xludf.DUMMYFUNCTION("""COMPUTED_VALUE"""),2911.2)</f>
        <v>2911.2</v>
      </c>
      <c r="D1157" s="13"/>
    </row>
    <row r="1158" spans="1:4" ht="76.5">
      <c r="A1158" s="12" t="str">
        <f ca="1">IFERROR(__xludf.DUMMYFUNCTION("""COMPUTED_VALUE"""),"ИП 103-10- (А1)/В 1ExibIIBT6 Х IP 65 ПАШК.425119.050")</f>
        <v>ИП 103-10- (А1)/В 1ExibIIBT6 Х IP 65 ПАШК.425119.050</v>
      </c>
      <c r="B1158" s="13" t="str">
        <f ca="1">IFERROR(__xludf.DUMMYFUNCTION("""COMPUTED_VALUE"""),"Тепловой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v>
      </c>
      <c r="C1158" s="14">
        <f ca="1">IFERROR(__xludf.DUMMYFUNCTION("""COMPUTED_VALUE"""),2570)</f>
        <v>2570</v>
      </c>
      <c r="D1158" s="13"/>
    </row>
    <row r="1159" spans="1:4" ht="76.5">
      <c r="A1159" s="12" t="str">
        <f ca="1">IFERROR(__xludf.DUMMYFUNCTION("""COMPUTED_VALUE"""),"ИП 103-10- (А1)/В 1ExibIIBT6 Х в комплекте с УС-Ех 0ExiaIICT6")</f>
        <v>ИП 103-10- (А1)/В 1ExibIIBT6 Х в комплекте с УС-Ех 0ExiaIICT6</v>
      </c>
      <c r="B1159" s="13" t="str">
        <f ca="1">IFERROR(__xludf.DUMMYFUNCTION("""COMPUTED_VALUE"""),"Тепловой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v>
      </c>
      <c r="C1159" s="14">
        <f ca="1">IFERROR(__xludf.DUMMYFUNCTION("""COMPUTED_VALUE"""),5990)</f>
        <v>5990</v>
      </c>
      <c r="D1159" s="13"/>
    </row>
    <row r="1160" spans="1:4" ht="76.5">
      <c r="A1160" s="12" t="str">
        <f ca="1">IFERROR(__xludf.DUMMYFUNCTION("""COMPUTED_VALUE"""),"ИП 103-10- (А3)/В 1ExibIIBT6 Х IP 65 ПАШК.425119.050")</f>
        <v>ИП 103-10- (А3)/В 1ExibIIBT6 Х IP 65 ПАШК.425119.050</v>
      </c>
      <c r="B1160" s="13" t="str">
        <f ca="1">IFERROR(__xludf.DUMMYFUNCTION("""COMPUTED_VALUE"""),"Тепловой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v>
      </c>
      <c r="C1160" s="14">
        <f ca="1">IFERROR(__xludf.DUMMYFUNCTION("""COMPUTED_VALUE"""),2570)</f>
        <v>2570</v>
      </c>
      <c r="D1160" s="13"/>
    </row>
    <row r="1161" spans="1:4" ht="76.5">
      <c r="A1161" s="12" t="str">
        <f ca="1">IFERROR(__xludf.DUMMYFUNCTION("""COMPUTED_VALUE"""),"ИП 103-10- (А3)/В 1ExibIIBT6 Х в комплекте с УС-Ех 0ExiaIICT6")</f>
        <v>ИП 103-10- (А3)/В 1ExibIIBT6 Х в комплекте с УС-Ех 0ExiaIICT6</v>
      </c>
      <c r="B1161" s="13" t="str">
        <f ca="1">IFERROR(__xludf.DUMMYFUNCTION("""COMPUTED_VALUE"""),"Тепловой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v>
      </c>
      <c r="C1161" s="14">
        <f ca="1">IFERROR(__xludf.DUMMYFUNCTION("""COMPUTED_VALUE"""),5990)</f>
        <v>5990</v>
      </c>
      <c r="D1161" s="13"/>
    </row>
    <row r="1162" spans="1:4" ht="76.5">
      <c r="A1162" s="12" t="str">
        <f ca="1">IFERROR(__xludf.DUMMYFUNCTION("""COMPUTED_VALUE"""),"ИПР 514-2/В «Культ» 0EXiaIICT6 X IР54 ПАШК.425211.010")</f>
        <v>ИПР 514-2/В «Культ» 0EXiaIICT6 X IР54 ПАШК.425211.010</v>
      </c>
      <c r="B1162" s="13" t="str">
        <f ca="1">IFERROR(__xludf.DUMMYFUNCTION("""COMPUTED_VALUE"""),"Извещатель пожарный ручной,металл.педаль до 25В ВЗРЫВОБЕЗОПАСНЫЙ . Производитель рекомендует использовать датчик вместе с коробкой соединительной УСБ-Ех ""Север""")</f>
        <v>Извещатель пожарный ручной,металл.педаль до 25В ВЗРЫВОБЕЗОПАСНЫЙ . Производитель рекомендует использовать датчик вместе с коробкой соединительной УСБ-Ех "Север"</v>
      </c>
      <c r="C1162" s="14">
        <f ca="1">IFERROR(__xludf.DUMMYFUNCTION("""COMPUTED_VALUE"""),10148.2)</f>
        <v>10148.200000000001</v>
      </c>
      <c r="D1162" s="13"/>
    </row>
    <row r="1163" spans="1:4" ht="76.5">
      <c r="A1163" s="12" t="str">
        <f ca="1">IFERROR(__xludf.DUMMYFUNCTION("""COMPUTED_VALUE"""),"ИПР 514-2/В И «Культ» 1ExibIIBT6 X IР54 ПАШК.425211.010")</f>
        <v>ИПР 514-2/В И «Культ» 1ExibIIBT6 X IР54 ПАШК.425211.010</v>
      </c>
      <c r="B1163" s="13" t="str">
        <f ca="1">IFERROR(__xludf.DUMMYFUNCTION("""COMPUTED_VALUE"""),"Извещатель пожарный ручной,металл.педаль до 25В ВЗРЫВОБЕЗОПАСНЫЙ С ИНДИКАЦИЕЙ . Производитель рекомендует использовать датчик вместе с коробкой соединительной УСБ-Ех ""Север""")</f>
        <v>Извещатель пожарный ручной,металл.педаль до 25В ВЗРЫВОБЕЗОПАСНЫЙ С ИНДИКАЦИЕЙ . Производитель рекомендует использовать датчик вместе с коробкой соединительной УСБ-Ех "Север"</v>
      </c>
      <c r="C1163" s="14">
        <f ca="1">IFERROR(__xludf.DUMMYFUNCTION("""COMPUTED_VALUE"""),10455)</f>
        <v>10455</v>
      </c>
      <c r="D1163" s="13"/>
    </row>
    <row r="1164" spans="1:4" ht="12.75">
      <c r="A1164" s="12" t="str">
        <f ca="1">IFERROR(__xludf.DUMMYFUNCTION("""COMPUTED_VALUE"""),"Ручка к ИП 535/В")</f>
        <v>Ручка к ИП 535/В</v>
      </c>
      <c r="B1164" s="13" t="str">
        <f ca="1">IFERROR(__xludf.DUMMYFUNCTION("""COMPUTED_VALUE"""),"Ручка для ИПР 535/В")</f>
        <v>Ручка для ИПР 535/В</v>
      </c>
      <c r="C1164" s="14">
        <f ca="1">IFERROR(__xludf.DUMMYFUNCTION("""COMPUTED_VALUE"""),411.4)</f>
        <v>411.4</v>
      </c>
      <c r="D1164" s="13"/>
    </row>
    <row r="1165" spans="1:4" ht="25.5">
      <c r="A1165" s="12" t="str">
        <f ca="1">IFERROR(__xludf.DUMMYFUNCTION("""COMPUTED_VALUE"""),"БИСШ [Exia]IIC/IIB IP54 АТФЕ.426439.001")</f>
        <v>БИСШ [Exia]IIC/IIB IP54 АТФЕ.426439.001</v>
      </c>
      <c r="B1165" s="13" t="str">
        <f ca="1">IFERROR(__xludf.DUMMYFUNCTION("""COMPUTED_VALUE"""),"Барьер искрозащиты шлейфа , для работы с ППК , Uвых.-24 В")</f>
        <v>Барьер искрозащиты шлейфа , для работы с ППК , Uвых.-24 В</v>
      </c>
      <c r="C1165" s="14">
        <f ca="1">IFERROR(__xludf.DUMMYFUNCTION("""COMPUTED_VALUE"""),9276.135)</f>
        <v>9276.1350000000002</v>
      </c>
      <c r="D1165" s="13"/>
    </row>
    <row r="1166" spans="1:4" ht="76.5">
      <c r="A1166" s="12" t="str">
        <f ca="1">IFERROR(__xludf.DUMMYFUNCTION("""COMPUTED_VALUE"""),"АБИ-1 АЯКС (12В, 300мА, IP66)")</f>
        <v>АБИ-1 АЯКС (12В, 300мА, IP66)</v>
      </c>
      <c r="B1166" s="13" t="str">
        <f ca="1">IFERROR(__xludf.DUMMYFUNCTION("""COMPUTED_VALUE"""),"Барьер искрозащиты, одноканальный, активный, U пит 12 В, Iнагр 300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300 мА, в герметичном корпусе IP66, Траб от -40 до +60°С. Предназначен для обеспечение искробезопасности одного шлейфа пожарной или охранной сигнализации.</v>
      </c>
      <c r="C1166" s="14">
        <f ca="1">IFERROR(__xludf.DUMMYFUNCTION("""COMPUTED_VALUE"""),2100)</f>
        <v>2100</v>
      </c>
      <c r="D1166" s="13"/>
    </row>
    <row r="1167" spans="1:4" ht="76.5">
      <c r="A1167" s="12" t="str">
        <f ca="1">IFERROR(__xludf.DUMMYFUNCTION("""COMPUTED_VALUE"""),"АБИ-1 АЯКС (12В, 600мА, IP66)")</f>
        <v>АБИ-1 АЯКС (12В, 600мА, IP66)</v>
      </c>
      <c r="B1167" s="13" t="str">
        <f ca="1">IFERROR(__xludf.DUMMYFUNCTION("""COMPUTED_VALUE"""),"Барьер искрозащиты, одноканальный, активный, U пит 12 В, Iнагр 600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600 мА, в герметичном корпусе IP66, Траб от -40 до +60°С. Предназначен для обеспечение искробезопасности одного шлейфа пожарной или охранной сигнализации.</v>
      </c>
      <c r="C1167" s="14">
        <f ca="1">IFERROR(__xludf.DUMMYFUNCTION("""COMPUTED_VALUE"""),4100)</f>
        <v>4100</v>
      </c>
      <c r="D1167" s="13"/>
    </row>
    <row r="1168" spans="1:4" ht="76.5">
      <c r="A1168" s="12" t="str">
        <f ca="1">IFERROR(__xludf.DUMMYFUNCTION("""COMPUTED_VALUE"""),"АБИ-2 АЯКС (12В, 300мА, IP66)")</f>
        <v>АБИ-2 АЯКС (12В, 300мА, IP66)</v>
      </c>
      <c r="B1168" s="13" t="str">
        <f ca="1">IFERROR(__xludf.DUMMYFUNCTION("""COMPUTED_VALUE"""),"Барьер искрозащиты, двухканальный, активный, U пит 12 В, Iнагр 300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300 мА,
  в герметичном корпусе IP66, Траб от -40 до +60°С. Предназначен для обеспечение искробезопасности двух шлейфов пожарной или охранной сигнализации.</v>
      </c>
      <c r="C1168" s="14">
        <f ca="1">IFERROR(__xludf.DUMMYFUNCTION("""COMPUTED_VALUE"""),2250)</f>
        <v>2250</v>
      </c>
      <c r="D1168" s="13"/>
    </row>
    <row r="1169" spans="1:4" ht="76.5">
      <c r="A1169" s="12" t="str">
        <f ca="1">IFERROR(__xludf.DUMMYFUNCTION("""COMPUTED_VALUE"""),"АБИ-2 АЯКС (12В, 600мА, IP66)")</f>
        <v>АБИ-2 АЯКС (12В, 600мА, IP66)</v>
      </c>
      <c r="B1169" s="13" t="str">
        <f ca="1">IFERROR(__xludf.DUMMYFUNCTION("""COMPUTED_VALUE"""),"Барьер искрозащиты, двухканальный, активный, U пит 12 В, Iнагр 600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600 мА,
  в герметичном корпусе IP66, Траб от -40 до +60°С. Предназначен для обеспечение искробезопасности двух шлейфов пожарной или охранной сигнализации.</v>
      </c>
      <c r="C1169" s="14">
        <f ca="1">IFERROR(__xludf.DUMMYFUNCTION("""COMPUTED_VALUE"""),4300)</f>
        <v>4300</v>
      </c>
      <c r="D1169" s="13"/>
    </row>
    <row r="1170" spans="1:4" ht="76.5">
      <c r="A1170" s="12" t="str">
        <f ca="1">IFERROR(__xludf.DUMMYFUNCTION("""COMPUTED_VALUE"""),"АБИ-1 АЯКС (24В, 50мА, IP66)")</f>
        <v>АБИ-1 АЯКС (24В, 50мА, IP66)</v>
      </c>
      <c r="B1170" s="13" t="str">
        <f ca="1">IFERROR(__xludf.DUMMYFUNCTION("""COMPUTED_VALUE"""),"Барьер искрозащиты, одноканальный, активный, Uпит 24 В, Iнагр 50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50 мА, в герметичном корпусе IP66, Траб от -40 до +60°С. Предназначен для обеспечение искробезопасности одного шлейфа пожарной или охранной сигнализации.</v>
      </c>
      <c r="C1170" s="14">
        <f ca="1">IFERROR(__xludf.DUMMYFUNCTION("""COMPUTED_VALUE"""),2100)</f>
        <v>2100</v>
      </c>
      <c r="D1170" s="13"/>
    </row>
    <row r="1171" spans="1:4" ht="76.5">
      <c r="A1171" s="12" t="str">
        <f ca="1">IFERROR(__xludf.DUMMYFUNCTION("""COMPUTED_VALUE"""),"АБИ-1 АЯКС (24В, 100мА, IP66)")</f>
        <v>АБИ-1 АЯКС (24В, 100мА, IP66)</v>
      </c>
      <c r="B1171" s="13" t="str">
        <f ca="1">IFERROR(__xludf.DUMMYFUNCTION("""COMPUTED_VALUE"""),"Барьер искрозащиты, одноканальный, активный, Uпит 24 В, Iнагр 100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100 мА, в герметичном корпусе IP66, Траб от -40 до +60°С. Предназначен для обеспечение искробезопасности одного шлейфа пожарной или охранной сигнализации.</v>
      </c>
      <c r="C1171" s="14">
        <f ca="1">IFERROR(__xludf.DUMMYFUNCTION("""COMPUTED_VALUE"""),4100)</f>
        <v>4100</v>
      </c>
      <c r="D1171" s="13"/>
    </row>
    <row r="1172" spans="1:4" ht="76.5">
      <c r="A1172" s="12" t="str">
        <f ca="1">IFERROR(__xludf.DUMMYFUNCTION("""COMPUTED_VALUE"""),"АБИ-2 АЯКС (24В, 50мА, IP66)")</f>
        <v>АБИ-2 АЯКС (24В, 50мА, IP66)</v>
      </c>
      <c r="B1172" s="13" t="str">
        <f ca="1">IFERROR(__xludf.DUMMYFUNCTION("""COMPUTED_VALUE"""),"Барьер искрозащиты, двухканальный, активный, Uпит 24 В, Iнагр 50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50 мА,
  в герметичном корпусе IP66, Траб от -40 до +60°С. Предназначен для обеспечение искробезопасности двух шлейфов пожарной или охранной сигнализации.</v>
      </c>
      <c r="C1172" s="14">
        <f ca="1">IFERROR(__xludf.DUMMYFUNCTION("""COMPUTED_VALUE"""),2250)</f>
        <v>2250</v>
      </c>
      <c r="D1172" s="13"/>
    </row>
    <row r="1173" spans="1:4" ht="76.5">
      <c r="A1173" s="12" t="str">
        <f ca="1">IFERROR(__xludf.DUMMYFUNCTION("""COMPUTED_VALUE"""),"АБИ-2 АЯКС (24В, 100мА, IP66)")</f>
        <v>АБИ-2 АЯКС (24В, 100мА, IP66)</v>
      </c>
      <c r="B1173" s="13" t="str">
        <f ca="1">IFERROR(__xludf.DUMMYFUNCTION("""COMPUTED_VALUE"""),"Барьер искрозащиты, двухканальный, активный, Uпит 24 В, Iнагр 100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100 мА,
  в герметичном корпусе IP66, Траб от -40 до +60°С. Предназначен для обеспечение искробезопасности двух шлейфов пожарной или охранной сигнализации.</v>
      </c>
      <c r="C1173" s="14">
        <f ca="1">IFERROR(__xludf.DUMMYFUNCTION("""COMPUTED_VALUE"""),4300)</f>
        <v>4300</v>
      </c>
      <c r="D1173" s="13"/>
    </row>
    <row r="1174" spans="1:4" ht="76.5">
      <c r="A1174" s="12" t="str">
        <f ca="1">IFERROR(__xludf.DUMMYFUNCTION("""COMPUTED_VALUE"""),"БИСШ-1 АЯКС (9-28В, 45мА, IP66)")</f>
        <v>БИСШ-1 АЯКС (9-28В, 45мА, IP66)</v>
      </c>
      <c r="B1174" s="13" t="str">
        <f ca="1">IFERROR(__xludf.DUMMYFUNCTION("""COMPUTED_VALUE"""),"Барьер искрозащиты, одноканальный, пассивный, Uпит 9-28 В , Iнагр 45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 Iнагр 45 мА, в герметичном корпусе IP66, Траб от -40 до +60°С. Предназначен для обеспечение искробезопасности одного шлейфа пожарной или охранной сигнализации.</v>
      </c>
      <c r="C1174" s="14">
        <f ca="1">IFERROR(__xludf.DUMMYFUNCTION("""COMPUTED_VALUE"""),9276)</f>
        <v>9276</v>
      </c>
      <c r="D1174" s="13"/>
    </row>
    <row r="1175" spans="1:4" ht="76.5">
      <c r="A1175" s="12" t="str">
        <f ca="1">IFERROR(__xludf.DUMMYFUNCTION("""COMPUTED_VALUE"""),"БИСШ-1 АЯКС (9-28В, 93мА, IP66)")</f>
        <v>БИСШ-1 АЯКС (9-28В, 93мА, IP66)</v>
      </c>
      <c r="B1175" s="13" t="str">
        <f ca="1">IFERROR(__xludf.DUMMYFUNCTION("""COMPUTED_VALUE"""),"Барьер искрозащиты, одноканальный,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v>
      </c>
      <c r="C1175" s="14">
        <f ca="1">IFERROR(__xludf.DUMMYFUNCTION("""COMPUTED_VALUE"""),9900)</f>
        <v>9900</v>
      </c>
      <c r="D1175" s="13"/>
    </row>
    <row r="1176" spans="1:4" ht="89.25">
      <c r="A1176" s="12" t="str">
        <f ca="1">IFERROR(__xludf.DUMMYFUNCTION("""COMPUTED_VALUE"""),"БИСШ-2 АЯКС (9-28В, 45мА, IP66)")</f>
        <v>БИСШ-2 АЯКС (9-28В, 45мА, IP66)</v>
      </c>
      <c r="B1176" s="13" t="str">
        <f ca="1">IFERROR(__xludf.DUMMYFUNCTION("""COMPUTED_VALUE"""),"Барьер искрозащиты, два незавизимых канала, пассивный, Uпит 9-28 В, Iнагр 45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два незавизимых канала, пассивный, Uпит 9-28 В, Iнагр 45 мА, в герметичном корпусе IP66, Траб от -40 до +60°С. Предназначен для обеспечение искробезопасности одного шлейфа пожарной или охранной сигнализации.</v>
      </c>
      <c r="C1176" s="14">
        <f ca="1">IFERROR(__xludf.DUMMYFUNCTION("""COMPUTED_VALUE"""),12900)</f>
        <v>12900</v>
      </c>
      <c r="D1176" s="13"/>
    </row>
    <row r="1177" spans="1:4" ht="89.25">
      <c r="A1177" s="12" t="str">
        <f ca="1">IFERROR(__xludf.DUMMYFUNCTION("""COMPUTED_VALUE"""),"БИСШ-2 АЯКС (9-28В, 93мА, IP66)")</f>
        <v>БИСШ-2 АЯКС (9-28В, 93мА, IP66)</v>
      </c>
      <c r="B1177" s="13" t="str">
        <f ca="1">IFERROR(__xludf.DUMMYFUNCTION("""COMPUTED_VALUE"""),"Барьер искрозащиты, два незаисимых канала,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два незаисимых канала,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v>
      </c>
      <c r="C1177" s="14">
        <f ca="1">IFERROR(__xludf.DUMMYFUNCTION("""COMPUTED_VALUE"""),12900)</f>
        <v>12900</v>
      </c>
      <c r="D1177" s="13"/>
    </row>
    <row r="1178" spans="1:4" ht="89.25">
      <c r="A1178" s="12" t="str">
        <f ca="1">IFERROR(__xludf.DUMMYFUNCTION("""COMPUTED_VALUE"""),"АБИ-1DIN АЯКС (12В, 300мА, IP20)")</f>
        <v>АБИ-1DIN АЯКС (12В, 300мА, IP20)</v>
      </c>
      <c r="B1178" s="13" t="str">
        <f ca="1">IFERROR(__xludf.DUMMYFUNCTION("""COMPUTED_VALUE"""),"Барьер искрозащиты, одноканальный, активный, U пит 12 В, Iнагр 300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300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78" s="14">
        <f ca="1">IFERROR(__xludf.DUMMYFUNCTION("""COMPUTED_VALUE"""),1850)</f>
        <v>1850</v>
      </c>
      <c r="D1178" s="13"/>
    </row>
    <row r="1179" spans="1:4" ht="89.25">
      <c r="A1179" s="12" t="str">
        <f ca="1">IFERROR(__xludf.DUMMYFUNCTION("""COMPUTED_VALUE"""),"АБИ-1DIN АЯКС (12В, 600мА, IP20)")</f>
        <v>АБИ-1DIN АЯКС (12В, 600мА, IP20)</v>
      </c>
      <c r="B1179" s="13" t="str">
        <f ca="1">IFERROR(__xludf.DUMMYFUNCTION("""COMPUTED_VALUE"""),"Барьер искрозащиты, одноканальный, активный, U пит 12 В, Iнагр 600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600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79" s="14">
        <f ca="1">IFERROR(__xludf.DUMMYFUNCTION("""COMPUTED_VALUE"""),4100)</f>
        <v>4100</v>
      </c>
      <c r="D1179" s="13"/>
    </row>
    <row r="1180" spans="1:4" ht="89.25">
      <c r="A1180" s="12" t="str">
        <f ca="1">IFERROR(__xludf.DUMMYFUNCTION("""COMPUTED_VALUE"""),"АБИ-2DIN АЯКС (12В, 300мА, IP20)")</f>
        <v>АБИ-2DIN АЯКС (12В, 300мА, IP20)</v>
      </c>
      <c r="B1180" s="13" t="str">
        <f ca="1">IFERROR(__xludf.DUMMYFUNCTION("""COMPUTED_VALUE"""),"Барьер искрозащиты, двухканальный, активный, U пит 12 В, Iнагр 300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300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80" s="14">
        <f ca="1">IFERROR(__xludf.DUMMYFUNCTION("""COMPUTED_VALUE"""),2250)</f>
        <v>2250</v>
      </c>
      <c r="D1180" s="13"/>
    </row>
    <row r="1181" spans="1:4" ht="89.25">
      <c r="A1181" s="12" t="str">
        <f ca="1">IFERROR(__xludf.DUMMYFUNCTION("""COMPUTED_VALUE"""),"АБИ-2DIN АЯКС (12В, 600мА, IP20)")</f>
        <v>АБИ-2DIN АЯКС (12В, 600мА, IP20)</v>
      </c>
      <c r="B1181" s="13" t="str">
        <f ca="1">IFERROR(__xludf.DUMMYFUNCTION("""COMPUTED_VALUE"""),"Барьер искрозащиты, двухканальный, активный, U пит 12 В, Iнагр 600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600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81" s="14">
        <f ca="1">IFERROR(__xludf.DUMMYFUNCTION("""COMPUTED_VALUE"""),4300)</f>
        <v>4300</v>
      </c>
      <c r="D1181" s="13"/>
    </row>
    <row r="1182" spans="1:4" ht="89.25">
      <c r="A1182" s="12" t="str">
        <f ca="1">IFERROR(__xludf.DUMMYFUNCTION("""COMPUTED_VALUE"""),"АБИ-1DIN АЯКС (24В, 50мА, IP20)")</f>
        <v>АБИ-1DIN АЯКС (24В, 50мА, IP20)</v>
      </c>
      <c r="B1182" s="13" t="str">
        <f ca="1">IFERROR(__xludf.DUMMYFUNCTION("""COMPUTED_VALUE"""),"Барьер искрозащиты, одноканальный, активный, Uпит 24 В, Iнагр 50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50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2" s="14">
        <f ca="1">IFERROR(__xludf.DUMMYFUNCTION("""COMPUTED_VALUE"""),1850)</f>
        <v>1850</v>
      </c>
      <c r="D1182" s="13"/>
    </row>
    <row r="1183" spans="1:4" ht="89.25">
      <c r="A1183" s="12" t="str">
        <f ca="1">IFERROR(__xludf.DUMMYFUNCTION("""COMPUTED_VALUE"""),"АБИ-1DIN АЯКС (24В, 100мА, IP20)")</f>
        <v>АБИ-1DIN АЯКС (24В, 100мА, IP20)</v>
      </c>
      <c r="B1183" s="13" t="str">
        <f ca="1">IFERROR(__xludf.DUMMYFUNCTION("""COMPUTED_VALUE"""),"Барьер искрозащиты, одноканальный, активный, Uпит 24 В, Iнагр 100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100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3" s="14">
        <f ca="1">IFERROR(__xludf.DUMMYFUNCTION("""COMPUTED_VALUE"""),4100)</f>
        <v>4100</v>
      </c>
      <c r="D1183" s="13"/>
    </row>
    <row r="1184" spans="1:4" ht="89.25">
      <c r="A1184" s="12" t="str">
        <f ca="1">IFERROR(__xludf.DUMMYFUNCTION("""COMPUTED_VALUE"""),"АБИ-2DIN АЯКС (24В, 50мА, IP20)")</f>
        <v>АБИ-2DIN АЯКС (24В, 50мА, IP20)</v>
      </c>
      <c r="B1184" s="13" t="str">
        <f ca="1">IFERROR(__xludf.DUMMYFUNCTION("""COMPUTED_VALUE"""),"Барьер искрозащиты, двухканальный, активный, Uпит 24 В, Iнагр 50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50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84" s="14">
        <f ca="1">IFERROR(__xludf.DUMMYFUNCTION("""COMPUTED_VALUE"""),2250)</f>
        <v>2250</v>
      </c>
      <c r="D1184" s="13"/>
    </row>
    <row r="1185" spans="1:4" ht="89.25">
      <c r="A1185" s="12" t="str">
        <f ca="1">IFERROR(__xludf.DUMMYFUNCTION("""COMPUTED_VALUE"""),"АБИ-2DIN АЯКС (24В, 100мА, IP20)")</f>
        <v>АБИ-2DIN АЯКС (24В, 100мА, IP20)</v>
      </c>
      <c r="B1185" s="13" t="str">
        <f ca="1">IFERROR(__xludf.DUMMYFUNCTION("""COMPUTED_VALUE"""),"Барьер искрозащиты, двухканальный, активный, Uпит 24 В, Iнагр 100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100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85" s="14">
        <f ca="1">IFERROR(__xludf.DUMMYFUNCTION("""COMPUTED_VALUE"""),4100)</f>
        <v>4100</v>
      </c>
      <c r="D1185" s="13"/>
    </row>
    <row r="1186" spans="1:4" ht="89.25">
      <c r="A1186" s="12" t="str">
        <f ca="1">IFERROR(__xludf.DUMMYFUNCTION("""COMPUTED_VALUE"""),"БИСШ-1DIN АЯКС (9-28В, 45мА, IP20)")</f>
        <v>БИСШ-1DIN АЯКС (9-28В, 45мА, IP20)</v>
      </c>
      <c r="B1186" s="13" t="str">
        <f ca="1">IFERROR(__xludf.DUMMYFUNCTION("""COMPUTED_VALUE"""),"Барьер искрозащиты, одноканальный, пассивный, Uпит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6" s="14">
        <f ca="1">IFERROR(__xludf.DUMMYFUNCTION("""COMPUTED_VALUE"""),9276)</f>
        <v>9276</v>
      </c>
      <c r="D1186" s="13"/>
    </row>
    <row r="1187" spans="1:4" ht="89.25">
      <c r="A1187" s="12" t="str">
        <f ca="1">IFERROR(__xludf.DUMMYFUNCTION("""COMPUTED_VALUE"""),"БИСШ-1DIN АЯКС (9-28В, 93мА, IP20)")</f>
        <v>БИСШ-1DIN АЯКС (9-28В, 93мА, IP20)</v>
      </c>
      <c r="B1187" s="13" t="str">
        <f ca="1">IFERROR(__xludf.DUMMYFUNCTION("""COMPUTED_VALUE"""),"Барьер искрозащиты, одноканальный,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7" s="14">
        <f ca="1">IFERROR(__xludf.DUMMYFUNCTION("""COMPUTED_VALUE"""),9900)</f>
        <v>9900</v>
      </c>
      <c r="D1187" s="13"/>
    </row>
    <row r="1188" spans="1:4" ht="89.25">
      <c r="A1188" s="12" t="str">
        <f ca="1">IFERROR(__xludf.DUMMYFUNCTION("""COMPUTED_VALUE"""),"БИСШ-2DIN АЯКС (9-28В, 45мА, IP20)")</f>
        <v>БИСШ-2DIN АЯКС (9-28В, 45мА, IP20)</v>
      </c>
      <c r="B1188" s="13" t="str">
        <f ca="1">IFERROR(__xludf.DUMMYFUNCTION("""COMPUTED_VALUE"""),"Барьер искрозащиты, два независимых канала, пассивный, U 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два независимых канала, пассивный, U 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8" s="14">
        <f ca="1">IFERROR(__xludf.DUMMYFUNCTION("""COMPUTED_VALUE"""),12900)</f>
        <v>12900</v>
      </c>
      <c r="D1188" s="13"/>
    </row>
    <row r="1189" spans="1:4" ht="89.25">
      <c r="A1189" s="12" t="str">
        <f ca="1">IFERROR(__xludf.DUMMYFUNCTION("""COMPUTED_VALUE"""),"БИСШ-2DIN АЯКС (9-28В, 93мА, IP20)")</f>
        <v>БИСШ-2DIN АЯКС (9-28В, 93мА, IP20)</v>
      </c>
      <c r="B1189" s="13" t="str">
        <f ca="1">IFERROR(__xludf.DUMMYFUNCTION("""COMPUTED_VALUE"""),"Барьер искрозащиты, два независимых канала,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два независимых канала,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9" s="14">
        <f ca="1">IFERROR(__xludf.DUMMYFUNCTION("""COMPUTED_VALUE"""),12900)</f>
        <v>12900</v>
      </c>
      <c r="D1189" s="13"/>
    </row>
    <row r="1190" spans="1:4" ht="63.75">
      <c r="A1190" s="12" t="str">
        <f ca="1">IFERROR(__xludf.DUMMYFUNCTION("""COMPUTED_VALUE"""),"УС-4-Ех (каб.вводы 3-5,3мм) 0ExiaIICT6 IP 65 ПАШК.425212.050")</f>
        <v>УС-4-Ех (каб.вводы 3-5,3мм) 0ExiaIICT6 IP 65 ПАШК.425212.050</v>
      </c>
      <c r="B1190" s="13" t="str">
        <f ca="1">IFERROR(__xludf.DUMMYFUNCTION("""COMPUTED_VALUE"""),"Устройство соединительное взрывозащищённое. до 16 клемм , до 4 кабельных вводов. Обеспечивают ввод подключаемого кабеля диаметром от 3 до 5,3 мм")</f>
        <v>Устройство соединительное взрывозащищённое. до 16 клемм , до 4 кабельных вводов. Обеспечивают ввод подключаемого кабеля диаметром от 3 до 5,3 мм</v>
      </c>
      <c r="C1190" s="14">
        <f ca="1">IFERROR(__xludf.DUMMYFUNCTION("""COMPUTED_VALUE"""),3420)</f>
        <v>3420</v>
      </c>
      <c r="D1190" s="13"/>
    </row>
    <row r="1191" spans="1:4" ht="63.75">
      <c r="A1191" s="12" t="str">
        <f ca="1">IFERROR(__xludf.DUMMYFUNCTION("""COMPUTED_VALUE"""),"УС-4-Ех (каб.вводы 4,5-8мм) 0ExiaIICT6 IP 65 ПАШК.425212.050")</f>
        <v>УС-4-Ех (каб.вводы 4,5-8мм) 0ExiaIICT6 IP 65 ПАШК.425212.050</v>
      </c>
      <c r="B1191" s="13" t="str">
        <f ca="1">IFERROR(__xludf.DUMMYFUNCTION("""COMPUTED_VALUE"""),"Устройство соединительное взрывозащищённое. до 16 клемм , до 4 кабельных вводов. Обеспечивают ввод подключаемого кабеля диаметром от 4,5 до 8 мм")</f>
        <v>Устройство соединительное взрывозащищённое. до 16 клемм , до 4 кабельных вводов. Обеспечивают ввод подключаемого кабеля диаметром от 4,5 до 8 мм</v>
      </c>
      <c r="C1191" s="14">
        <f ca="1">IFERROR(__xludf.DUMMYFUNCTION("""COMPUTED_VALUE"""),3475)</f>
        <v>3475</v>
      </c>
      <c r="D1191" s="13"/>
    </row>
    <row r="1192" spans="1:4" ht="51">
      <c r="A1192" s="12" t="str">
        <f ca="1">IFERROR(__xludf.DUMMYFUNCTION("""COMPUTED_VALUE"""),"УС-4-Ех (каб.вводы 3-5,3мм) 0ExiaIICT6 IP 65, Черная ПАШК.425212.050")</f>
        <v>УС-4-Ех (каб.вводы 3-5,3мм) 0ExiaIICT6 IP 65, Черная ПАШК.425212.050</v>
      </c>
      <c r="B1192" s="13" t="str">
        <f ca="1">IFERROR(__xludf.DUMMYFUNCTION("""COMPUTED_VALUE"""),"Устройство соединительное взрывозащищённое, усиленная механическая прочность, из антистатичного пластика черного цвета")</f>
        <v>Устройство соединительное взрывозащищённое, усиленная механическая прочность, из антистатичного пластика черного цвета</v>
      </c>
      <c r="C1192" s="14">
        <f ca="1">IFERROR(__xludf.DUMMYFUNCTION("""COMPUTED_VALUE"""),3846)</f>
        <v>3846</v>
      </c>
      <c r="D1192" s="13"/>
    </row>
    <row r="1193" spans="1:4" ht="63.75">
      <c r="A1193" s="12" t="str">
        <f ca="1">IFERROR(__xludf.DUMMYFUNCTION("""COMPUTED_VALUE"""),"КВСК-Ех Север"" ПЛ.8.ПС.6-12.Т31 0Ex iа IIC T6 Ga IP66/IP67 ПАШК.685552.002")</f>
        <v>КВСК-Ех Север" ПЛ.8.ПС.6-12.Т31 0Ex iа IIC T6 Ga IP66/IP67 ПАШК.685552.002</v>
      </c>
      <c r="B1193" s="13" t="str">
        <f ca="1">IFERROR(__xludf.DUMMYFUNCTION("""COMPUTED_VALUE"""),"коробка в корпусе из полистирола с пластиковыми кабельными вводами в количестве 8шт., диаметром подключаемого кабеля 6-12мм, с клеммниками Т31")</f>
        <v>коробка в корпусе из полистирола с пластиковыми кабельными вводами в количестве 8шт., диаметром подключаемого кабеля 6-12мм, с клеммниками Т31</v>
      </c>
      <c r="C1193" s="14">
        <f ca="1">IFERROR(__xludf.DUMMYFUNCTION("""COMPUTED_VALUE"""),8380.94)</f>
        <v>8380.94</v>
      </c>
      <c r="D1193" s="13"/>
    </row>
    <row r="1194" spans="1:4" ht="63.75">
      <c r="A1194" s="12" t="str">
        <f ca="1">IFERROR(__xludf.DUMMYFUNCTION("""COMPUTED_VALUE"""),"КВСК-Ех Север"" ПЛ.8.ПС.6-12.PM2 0Ex iа IIC T6 Ga IP66/IP67 ПАШК.685552.002")</f>
        <v>КВСК-Ех Север" ПЛ.8.ПС.6-12.PM2 0Ex iа IIC T6 Ga IP66/IP67 ПАШК.685552.002</v>
      </c>
      <c r="B1194" s="13" t="str">
        <f ca="1">IFERROR(__xludf.DUMMYFUNCTION("""COMPUTED_VALUE"""),"коробка в корпусе из полистирола с пластиковыми кабельными вводами в количестве 8шт., диаметром подключаемого кабеля 6-12мм, с клеммниками РМ2")</f>
        <v>коробка в корпусе из полистирола с пластиковыми кабельными вводами в количестве 8шт., диаметром подключаемого кабеля 6-12мм, с клеммниками РМ2</v>
      </c>
      <c r="C1194" s="14">
        <f ca="1">IFERROR(__xludf.DUMMYFUNCTION("""COMPUTED_VALUE"""),9815.52)</f>
        <v>9815.52</v>
      </c>
      <c r="D1194" s="13"/>
    </row>
    <row r="1195" spans="1:4" ht="63.75">
      <c r="A1195" s="12" t="str">
        <f ca="1">IFERROR(__xludf.DUMMYFUNCTION("""COMPUTED_VALUE"""),"КВСК-Ех ""Север"" ПЛ.8.ПС.11-17.Т31 0Ex iа IIC T6 Ga IP66/IP67 ПАШК.685552.002")</f>
        <v>КВСК-Ех "Север" ПЛ.8.ПС.11-17.Т31 0Ex iа IIC T6 Ga IP66/IP67 ПАШК.685552.002</v>
      </c>
      <c r="B1195" s="13" t="str">
        <f ca="1">IFERROR(__xludf.DUMMYFUNCTION("""COMPUTED_VALUE"""),"коробка в корпусе из полистирола с пластиковыми кабельными вводами в количестве 8шт., диаметром подключаемого кабеля 11-17 мм, с клеммниками Т31")</f>
        <v>коробка в корпусе из полистирола с пластиковыми кабельными вводами в количестве 8шт., диаметром подключаемого кабеля 11-17 мм, с клеммниками Т31</v>
      </c>
      <c r="C1195" s="14">
        <f ca="1">IFERROR(__xludf.DUMMYFUNCTION("""COMPUTED_VALUE"""),8564.03)</f>
        <v>8564.0300000000007</v>
      </c>
      <c r="D1195" s="13"/>
    </row>
    <row r="1196" spans="1:4" ht="63.75">
      <c r="A1196" s="12" t="str">
        <f ca="1">IFERROR(__xludf.DUMMYFUNCTION("""COMPUTED_VALUE"""),"КВСК-Ех ""Север"" ПЛ.8.ПС.11-17.РМ2 0Ex iа IIC T6 Ga IP66/IP67 ПАШК.685552.002")</f>
        <v>КВСК-Ех "Север" ПЛ.8.ПС.11-17.РМ2 0Ex iа IIC T6 Ga IP66/IP67 ПАШК.685552.002</v>
      </c>
      <c r="B1196" s="13" t="str">
        <f ca="1">IFERROR(__xludf.DUMMYFUNCTION("""COMPUTED_VALUE"""),"коробка в корпусе из полистирола с пластиковыми кабельными вводами в количестве 8шт., диаметром подключаемого кабеля 11-17 мм, с клеммниками РМ2")</f>
        <v>коробка в корпусе из полистирола с пластиковыми кабельными вводами в количестве 8шт., диаметром подключаемого кабеля 11-17 мм, с клеммниками РМ2</v>
      </c>
      <c r="C1196" s="14">
        <f ca="1">IFERROR(__xludf.DUMMYFUNCTION("""COMPUTED_VALUE"""),10004.28)</f>
        <v>10004.280000000001</v>
      </c>
      <c r="D1196" s="13"/>
    </row>
    <row r="1197" spans="1:4" ht="63.75">
      <c r="A1197" s="12" t="str">
        <f ca="1">IFERROR(__xludf.DUMMYFUNCTION("""COMPUTED_VALUE"""),"КВСК-Ех ""Север"" ПЛ.8.ПС.13-18.Т31 0Ex iа IIC T6 Ga IP66/IP67 ПАШК.685552.002")</f>
        <v>КВСК-Ех "Север" ПЛ.8.ПС.13-18.Т31 0Ex iа IIC T6 Ga IP66/IP67 ПАШК.685552.002</v>
      </c>
      <c r="B1197" s="13" t="str">
        <f ca="1">IFERROR(__xludf.DUMMYFUNCTION("""COMPUTED_VALUE"""),"коробка в корпусе из полистирола с пластиковыми кабельными вводами в количестве 8шт., диаметром подключаемого кабеля 13-18 мм, с клеммниками Т31")</f>
        <v>коробка в корпусе из полистирола с пластиковыми кабельными вводами в количестве 8шт., диаметром подключаемого кабеля 13-18 мм, с клеммниками Т31</v>
      </c>
      <c r="C1197" s="14">
        <f ca="1">IFERROR(__xludf.DUMMYFUNCTION("""COMPUTED_VALUE"""),8989.2)</f>
        <v>8989.2000000000007</v>
      </c>
      <c r="D1197" s="13"/>
    </row>
    <row r="1198" spans="1:4" ht="63.75">
      <c r="A1198" s="12" t="str">
        <f ca="1">IFERROR(__xludf.DUMMYFUNCTION("""COMPUTED_VALUE"""),"КВСК-Ех ""Север"" ПЛ.8.ПС.13-18.РМ2 0Ex iа IIC T6 Ga IP66/IP67 ПАШК.685552.002")</f>
        <v>КВСК-Ех "Север" ПЛ.8.ПС.13-18.РМ2 0Ex iа IIC T6 Ga IP66/IP67 ПАШК.685552.002</v>
      </c>
      <c r="B1198" s="13" t="str">
        <f ca="1">IFERROR(__xludf.DUMMYFUNCTION("""COMPUTED_VALUE"""),"коробка в корпусе из полистирола с пластиковыми кабельными вводами в количестве 8шт., диаметром подключаемого кабеля 13-18 мм, с клеммниками РМ2")</f>
        <v>коробка в корпусе из полистирола с пластиковыми кабельными вводами в количестве 8шт., диаметром подключаемого кабеля 13-18 мм, с клеммниками РМ2</v>
      </c>
      <c r="C1198" s="14">
        <f ca="1">IFERROR(__xludf.DUMMYFUNCTION("""COMPUTED_VALUE"""),10428)</f>
        <v>10428</v>
      </c>
      <c r="D1198" s="13"/>
    </row>
    <row r="1199" spans="1:4" ht="76.5">
      <c r="A1199" s="12" t="str">
        <f ca="1">IFERROR(__xludf.DUMMYFUNCTION("""COMPUTED_VALUE"""),"КВСК-Ех «СЕВЕР» АБС.8.МКВ М20К.6-12.РМ2 0Ex iа IIC T6 Ga IP66/IP67 ПАШК.685552.002")</f>
        <v>КВСК-Ех «СЕВЕР» АБС.8.МКВ М20К.6-12.РМ2 0Ex iа IIC T6 Ga IP66/IP67 ПАШК.685552.002</v>
      </c>
      <c r="B1199" s="13" t="str">
        <f ca="1">IFERROR(__xludf.DUMMYFUNCTION("""COMPUTED_VALUE"""),"коробка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РМ2</v>
      </c>
      <c r="C1199" s="14">
        <f ca="1">IFERROR(__xludf.DUMMYFUNCTION("""COMPUTED_VALUE"""),22718.839)</f>
        <v>22718.839</v>
      </c>
      <c r="D1199" s="13"/>
    </row>
    <row r="1200" spans="1:4" ht="76.5">
      <c r="A1200" s="12" t="str">
        <f ca="1">IFERROR(__xludf.DUMMYFUNCTION("""COMPUTED_VALUE"""),"КВСК-Ех «СЕВЕР» АБС.8.МКВ М20К.6-12.Т31 0Ex iа IIC T6 Ga IP66/IP67 ПАШК.685552.002")</f>
        <v>КВСК-Ех «СЕВЕР» АБС.8.МКВ М20К.6-12.Т31 0Ex iа IIC T6 Ga IP66/IP67 ПАШК.685552.002</v>
      </c>
      <c r="B1200" s="13" t="str">
        <f ca="1">IFERROR(__xludf.DUMMYFUNCTION("""COMPUTED_VALUE"""),"коробка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Т31</v>
      </c>
      <c r="C1200" s="14">
        <f ca="1">IFERROR(__xludf.DUMMYFUNCTION("""COMPUTED_VALUE"""),21462.639)</f>
        <v>21462.638999999999</v>
      </c>
      <c r="D1200" s="13"/>
    </row>
    <row r="1201" spans="1:4" ht="76.5">
      <c r="A1201" s="12" t="str">
        <f ca="1">IFERROR(__xludf.DUMMYFUNCTION("""COMPUTED_VALUE"""),"КВСК-Ех «СЕВЕР» АБС.8.МКВ М20Т1/2.6-12.РМ2 0Ex iа IIC T6 Ga IP66/IP67 ПАШК.685552.002")</f>
        <v>КВСК-Ех «СЕВЕР» АБС.8.МКВ М20Т1/2.6-12.РМ2 0Ex iа IIC T6 Ga IP66/IP67 ПАШК.685552.002</v>
      </c>
      <c r="B1201" s="13" t="str">
        <f ca="1">IFERROR(__xludf.DUMMYFUNCTION("""COMPUTED_VALUE"""),"коробка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РМ2</v>
      </c>
      <c r="C1201" s="14">
        <f ca="1">IFERROR(__xludf.DUMMYFUNCTION("""COMPUTED_VALUE"""),22715.374)</f>
        <v>22715.374</v>
      </c>
      <c r="D1201" s="13"/>
    </row>
    <row r="1202" spans="1:4" ht="76.5">
      <c r="A1202" s="12" t="str">
        <f ca="1">IFERROR(__xludf.DUMMYFUNCTION("""COMPUTED_VALUE"""),"КВСК-Ех «СЕВЕР» АБС.8.МКВ М20Т1/2.6-12.Т31 0Ex iа IIC T6 Ga IP66/IP67 ПАШК.685552.002")</f>
        <v>КВСК-Ех «СЕВЕР» АБС.8.МКВ М20Т1/2.6-12.Т31 0Ex iа IIC T6 Ga IP66/IP67 ПАШК.685552.002</v>
      </c>
      <c r="B1202" s="13" t="str">
        <f ca="1">IFERROR(__xludf.DUMMYFUNCTION("""COMPUTED_VALUE"""),"коробка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Т31</v>
      </c>
      <c r="C1202" s="14">
        <f ca="1">IFERROR(__xludf.DUMMYFUNCTION("""COMPUTED_VALUE"""),21462.639)</f>
        <v>21462.638999999999</v>
      </c>
      <c r="D1202" s="13"/>
    </row>
    <row r="1203" spans="1:4" ht="76.5">
      <c r="A1203" s="12" t="str">
        <f ca="1">IFERROR(__xludf.DUMMYFUNCTION("""COMPUTED_VALUE"""),"КВСК-Ех «СЕВЕР» АБС.8.МКВ М20Т3/4.6-12.РМ2 0Ex iа IIC T6 Ga IP66/IP67 ПАШК.685552.002")</f>
        <v>КВСК-Ех «СЕВЕР» АБС.8.МКВ М20Т3/4.6-12.РМ2 0Ex iа IIC T6 Ga IP66/IP67 ПАШК.685552.002</v>
      </c>
      <c r="B1203" s="13" t="str">
        <f ca="1">IFERROR(__xludf.DUMMYFUNCTION("""COMPUTED_VALUE"""),"коробка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РМ2</v>
      </c>
      <c r="C1203" s="14">
        <f ca="1">IFERROR(__xludf.DUMMYFUNCTION("""COMPUTED_VALUE"""),22715.374)</f>
        <v>22715.374</v>
      </c>
      <c r="D1203" s="13"/>
    </row>
    <row r="1204" spans="1:4" ht="76.5">
      <c r="A1204" s="12" t="str">
        <f ca="1">IFERROR(__xludf.DUMMYFUNCTION("""COMPUTED_VALUE"""),"КВСК-Ех «СЕВЕР» АБС.8.МКВ М20Т3/4.6-12.Т31 0Ex iа IIC T6 Ga IP66/IP67 ПАШК.685552.002")</f>
        <v>КВСК-Ех «СЕВЕР» АБС.8.МКВ М20Т3/4.6-12.Т31 0Ex iа IIC T6 Ga IP66/IP67 ПАШК.685552.002</v>
      </c>
      <c r="B1204" s="13" t="str">
        <f ca="1">IFERROR(__xludf.DUMMYFUNCTION("""COMPUTED_VALUE"""),"коробка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Т31</v>
      </c>
      <c r="C1204" s="14">
        <f ca="1">IFERROR(__xludf.DUMMYFUNCTION("""COMPUTED_VALUE"""),21462.639)</f>
        <v>21462.638999999999</v>
      </c>
      <c r="D1204" s="13"/>
    </row>
    <row r="1205" spans="1:4" ht="76.5">
      <c r="A1205" s="12" t="str">
        <f ca="1">IFERROR(__xludf.DUMMYFUNCTION("""COMPUTED_VALUE"""),"КВСК-Ех «СЕВЕР» АБС.8.МКВ М20КМ10.6-8.РМ2 0Ex iа IIC T6 Ga IP66/IP67 ПАШК.685552.002")</f>
        <v>КВСК-Ех «СЕВЕР» АБС.8.МКВ М20КМ10.6-8.РМ2 0Ex iа IIC T6 Ga IP66/IP67 ПАШК.685552.002</v>
      </c>
      <c r="B1205" s="13" t="str">
        <f ca="1">IFERROR(__xludf.DUMMYFUNCTION("""COMPUTED_VALUE"""),"коробка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РМ2")</f>
        <v>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РМ2</v>
      </c>
      <c r="C1205" s="14">
        <f ca="1">IFERROR(__xludf.DUMMYFUNCTION("""COMPUTED_VALUE"""),22715.374)</f>
        <v>22715.374</v>
      </c>
      <c r="D1205" s="13"/>
    </row>
    <row r="1206" spans="1:4" ht="76.5">
      <c r="A1206" s="12" t="str">
        <f ca="1">IFERROR(__xludf.DUMMYFUNCTION("""COMPUTED_VALUE"""),"КВСК-Ех «СЕВЕР» АБС.8.МКВ М20КМ10.6-8.Т31 0Ex iа IIC T6 Ga IP66/IP67 ПАШК.685552.002")</f>
        <v>КВСК-Ех «СЕВЕР» АБС.8.МКВ М20КМ10.6-8.Т31 0Ex iа IIC T6 Ga IP66/IP67 ПАШК.685552.002</v>
      </c>
      <c r="B1206" s="13" t="str">
        <f ca="1">IFERROR(__xludf.DUMMYFUNCTION("""COMPUTED_VALUE"""),"коробка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Т31")</f>
        <v>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Т31</v>
      </c>
      <c r="C1206" s="14">
        <f ca="1">IFERROR(__xludf.DUMMYFUNCTION("""COMPUTED_VALUE"""),21464.377)</f>
        <v>21464.377</v>
      </c>
      <c r="D1206" s="13"/>
    </row>
    <row r="1207" spans="1:4" ht="76.5">
      <c r="A1207" s="12" t="str">
        <f ca="1">IFERROR(__xludf.DUMMYFUNCTION("""COMPUTED_VALUE"""),"КВСК-Ех «СЕВЕР» АБС.8.МКВ М20КМ12.6-10.РМ2 0Ex iа IIC T6 Ga IP66/IP67 ПАШК.685552.002")</f>
        <v>КВСК-Ех «СЕВЕР» АБС.8.МКВ М20КМ12.6-10.РМ2 0Ex iа IIC T6 Ga IP66/IP67 ПАШК.685552.002</v>
      </c>
      <c r="B1207" s="13" t="str">
        <f ca="1">IFERROR(__xludf.DUMMYFUNCTION("""COMPUTED_VALUE"""),"коробка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РМ2")</f>
        <v>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РМ2</v>
      </c>
      <c r="C1207" s="14">
        <f ca="1">IFERROR(__xludf.DUMMYFUNCTION("""COMPUTED_VALUE"""),22715.374)</f>
        <v>22715.374</v>
      </c>
      <c r="D1207" s="13"/>
    </row>
    <row r="1208" spans="1:4" ht="76.5">
      <c r="A1208" s="12" t="str">
        <f ca="1">IFERROR(__xludf.DUMMYFUNCTION("""COMPUTED_VALUE"""),"КВСК-Ех «СЕВЕР» АБС.8.МКВ М20КМ12.6-10.Т31 0Ex iа IIC T6 Ga IP66/IP67 ПАШК.685552.002")</f>
        <v>КВСК-Ех «СЕВЕР» АБС.8.МКВ М20КМ12.6-10.Т31 0Ex iа IIC T6 Ga IP66/IP67 ПАШК.685552.002</v>
      </c>
      <c r="B1208" s="13" t="str">
        <f ca="1">IFERROR(__xludf.DUMMYFUNCTION("""COMPUTED_VALUE"""),"коробка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Т31")</f>
        <v>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Т31</v>
      </c>
      <c r="C1208" s="14">
        <f ca="1">IFERROR(__xludf.DUMMYFUNCTION("""COMPUTED_VALUE"""),21462.639)</f>
        <v>21462.638999999999</v>
      </c>
      <c r="D1208" s="13"/>
    </row>
    <row r="1209" spans="1:4" ht="76.5">
      <c r="A1209" s="12" t="str">
        <f ca="1">IFERROR(__xludf.DUMMYFUNCTION("""COMPUTED_VALUE"""),"КВСК-Ех «СЕВЕР» АБС.8.МКВ М20КМ15.6-12.РМ2 0Ex iа IIC T6 Ga IP66/IP67 ПАШК.685552.002")</f>
        <v>КВСК-Ех «СЕВЕР» АБС.8.МКВ М20КМ15.6-12.РМ2 0Ex iа IIC T6 Ga IP66/IP67 ПАШК.685552.002</v>
      </c>
      <c r="B1209" s="13" t="str">
        <f ca="1">IFERROR(__xludf.DUMMYFUNCTION("""COMPUTED_VALUE"""),"коробка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РМ2</v>
      </c>
      <c r="C1209" s="14">
        <f ca="1">IFERROR(__xludf.DUMMYFUNCTION("""COMPUTED_VALUE"""),22715.374)</f>
        <v>22715.374</v>
      </c>
      <c r="D1209" s="13"/>
    </row>
    <row r="1210" spans="1:4" ht="76.5">
      <c r="A1210" s="12" t="str">
        <f ca="1">IFERROR(__xludf.DUMMYFUNCTION("""COMPUTED_VALUE"""),"КВСК-Ех «СЕВЕР» АБС.8.МКВ М20КМ15.6-12.Т31 0Ex iа IIC T6 Ga IP66/IP67 ПАШК.685552.002")</f>
        <v>КВСК-Ех «СЕВЕР» АБС.8.МКВ М20КМ15.6-12.Т31 0Ex iа IIC T6 Ga IP66/IP67 ПАШК.685552.002</v>
      </c>
      <c r="B1210" s="13" t="str">
        <f ca="1">IFERROR(__xludf.DUMMYFUNCTION("""COMPUTED_VALUE"""),"коробка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Т31</v>
      </c>
      <c r="C1210" s="14">
        <f ca="1">IFERROR(__xludf.DUMMYFUNCTION("""COMPUTED_VALUE"""),21464.377)</f>
        <v>21464.377</v>
      </c>
      <c r="D1210" s="13"/>
    </row>
    <row r="1211" spans="1:4" ht="76.5">
      <c r="A1211" s="12" t="str">
        <f ca="1">IFERROR(__xludf.DUMMYFUNCTION("""COMPUTED_VALUE"""),"КВСК-Ех «СЕВЕР» АБС.8.МКВ М20В.6-12.РМ2 0Ex iа IIC T6 Ga IP66/IP67 ПАШК.685552.002")</f>
        <v>КВСК-Ех «СЕВЕР» АБС.8.МКВ М20В.6-12.РМ2 0Ex iа IIC T6 Ga IP66/IP67 ПАШК.685552.002</v>
      </c>
      <c r="B1211" s="13" t="str">
        <f ca="1">IFERROR(__xludf.DUMMYFUNCTION("""COMPUTED_VALUE"""),"коробка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РМ2</v>
      </c>
      <c r="C1211" s="14">
        <f ca="1">IFERROR(__xludf.DUMMYFUNCTION("""COMPUTED_VALUE"""),22715.374)</f>
        <v>22715.374</v>
      </c>
      <c r="D1211" s="13"/>
    </row>
    <row r="1212" spans="1:4" ht="76.5">
      <c r="A1212" s="12" t="str">
        <f ca="1">IFERROR(__xludf.DUMMYFUNCTION("""COMPUTED_VALUE"""),"КВСК-Ех «СЕВЕР» АБС.8.МКВ М20В.6-12.Т31 0Ex iа IIC T6 Ga IP66/IP67 ПАШК.685552.002")</f>
        <v>КВСК-Ех «СЕВЕР» АБС.8.МКВ М20В.6-12.Т31 0Ex iа IIC T6 Ga IP66/IP67 ПАШК.685552.002</v>
      </c>
      <c r="B1212" s="13" t="str">
        <f ca="1">IFERROR(__xludf.DUMMYFUNCTION("""COMPUTED_VALUE"""),"коробка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Т31</v>
      </c>
      <c r="C1212" s="14">
        <f ca="1">IFERROR(__xludf.DUMMYFUNCTION("""COMPUTED_VALUE"""),21462.639)</f>
        <v>21462.638999999999</v>
      </c>
      <c r="D1212" s="13"/>
    </row>
    <row r="1213" spans="1:4" ht="89.25">
      <c r="A1213" s="12" t="str">
        <f ca="1">IFERROR(__xludf.DUMMYFUNCTION("""COMPUTED_VALUE"""),"КВСК-Ех «СЕВЕР» АБС.8.МКВ М20В2.6-12.РМ2 0Ex iа IIC T6 Ga IP66/IP67 ПАШК.685552.002")</f>
        <v>КВСК-Ех «СЕВЕР» АБС.8.МКВ М20В2.6-12.РМ2 0Ex iа IIC T6 Ga IP66/IP67 ПАШК.685552.002</v>
      </c>
      <c r="B1213" s="13" t="str">
        <f ca="1">IFERROR(__xludf.DUMMYFUNCTION("""COMPUTED_VALUE"""),"коробка в корпусе из ABS пластика с кабельными вводами МКВ М20Б (бронированный кабель с двойным уплотнением)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М20Б (бронированный кабель с двойным уплотнением) из нержавеющей стали в количестве 8 шт., диаметром подключаемого кабеля 6-12мм, с клеммниками РМ2</v>
      </c>
      <c r="C1213" s="14">
        <f ca="1">IFERROR(__xludf.DUMMYFUNCTION("""COMPUTED_VALUE"""),22715.374)</f>
        <v>22715.374</v>
      </c>
      <c r="D1213" s="13"/>
    </row>
    <row r="1214" spans="1:4" ht="89.25">
      <c r="A1214" s="12" t="str">
        <f ca="1">IFERROR(__xludf.DUMMYFUNCTION("""COMPUTED_VALUE"""),"КВСК-Ех «СЕВЕР» АБС.8.МКВ М20В2.6-12.Т31 0Ex iа IIC T6 Ga IP66/IP67 ПАШК.685552.002")</f>
        <v>КВСК-Ех «СЕВЕР» АБС.8.МКВ М20В2.6-12.Т31 0Ex iа IIC T6 Ga IP66/IP67 ПАШК.685552.002</v>
      </c>
      <c r="B1214" s="13" t="str">
        <f ca="1">IFERROR(__xludf.DUMMYFUNCTION("""COMPUTED_VALUE"""),"коробка в корпусе из ABS пластика с кабельными вводами МКВ М20В (бронированный кабель с двойным уплотнением)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М20В (бронированный кабель с двойным уплотнением) из нержавеющей стали в количестве 8 шт., диаметром подключаемого кабеля 6-12мм, с клеммниками Т31</v>
      </c>
      <c r="C1214" s="14">
        <f ca="1">IFERROR(__xludf.DUMMYFUNCTION("""COMPUTED_VALUE"""),21462.639)</f>
        <v>21462.638999999999</v>
      </c>
      <c r="D1214" s="13"/>
    </row>
    <row r="1215" spans="1:4" ht="76.5">
      <c r="A1215" s="12" t="str">
        <f ca="1">IFERROR(__xludf.DUMMYFUNCTION("""COMPUTED_VALUE"""),"КВСК-Ех «СЕВЕР» АБС.8.МКВ М25К.10-14.РМ2 0Ex iа IIC T6 Ga IP66/IP67 ПАШК.685552.002")</f>
        <v>КВСК-Ех «СЕВЕР» АБС.8.МКВ М25К.10-14.РМ2 0Ex iа IIC T6 Ga IP66/IP67 ПАШК.685552.002</v>
      </c>
      <c r="B1215" s="13" t="str">
        <f ca="1">IFERROR(__xludf.DUMMYFUNCTION("""COMPUTED_VALUE"""),"коробка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РМ2</v>
      </c>
      <c r="C1215" s="14">
        <f ca="1">IFERROR(__xludf.DUMMYFUNCTION("""COMPUTED_VALUE"""),22715.374)</f>
        <v>22715.374</v>
      </c>
      <c r="D1215" s="13"/>
    </row>
    <row r="1216" spans="1:4" ht="76.5">
      <c r="A1216" s="12" t="str">
        <f ca="1">IFERROR(__xludf.DUMMYFUNCTION("""COMPUTED_VALUE"""),"КВСК-Ех «СЕВЕР» АБС.8.МКВ М25К.10-14.Т31 0Ex iа IIC T6 Ga IP66/IP67 ПАШК.685552.002")</f>
        <v>КВСК-Ех «СЕВЕР» АБС.8.МКВ М25К.10-14.Т31 0Ex iа IIC T6 Ga IP66/IP67 ПАШК.685552.002</v>
      </c>
      <c r="B1216" s="13" t="str">
        <f ca="1">IFERROR(__xludf.DUMMYFUNCTION("""COMPUTED_VALUE"""),"коробка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Т31</v>
      </c>
      <c r="C1216" s="14">
        <f ca="1">IFERROR(__xludf.DUMMYFUNCTION("""COMPUTED_VALUE"""),21462.639)</f>
        <v>21462.638999999999</v>
      </c>
      <c r="D1216" s="13"/>
    </row>
    <row r="1217" spans="1:4" ht="76.5">
      <c r="A1217" s="12" t="str">
        <f ca="1">IFERROR(__xludf.DUMMYFUNCTION("""COMPUTED_VALUE"""),"КВСК-Ех «СЕВЕР» АБС.8.МКВ М25Т3/4.10-14.РМ2 0Ex iа IIC T6 Ga IP66/IP67 ПАШК.685552.002")</f>
        <v>КВСК-Ех «СЕВЕР» АБС.8.МКВ М25Т3/4.10-14.РМ2 0Ex iа IIC T6 Ga IP66/IP67 ПАШК.685552.002</v>
      </c>
      <c r="B1217" s="13" t="str">
        <f ca="1">IFERROR(__xludf.DUMMYFUNCTION("""COMPUTED_VALUE"""),"коробка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РМ2</v>
      </c>
      <c r="C1217" s="14">
        <f ca="1">IFERROR(__xludf.DUMMYFUNCTION("""COMPUTED_VALUE"""),22715.374)</f>
        <v>22715.374</v>
      </c>
      <c r="D1217" s="13"/>
    </row>
    <row r="1218" spans="1:4" ht="76.5">
      <c r="A1218" s="12" t="str">
        <f ca="1">IFERROR(__xludf.DUMMYFUNCTION("""COMPUTED_VALUE"""),"КВСК-Ех «СЕВЕР» АБС.8.МКВ М25Т3/4.10-14.Т31 0Ex iа IIC T6 Ga IP66/IP67 ПАШК.685552.002")</f>
        <v>КВСК-Ех «СЕВЕР» АБС.8.МКВ М25Т3/4.10-14.Т31 0Ex iа IIC T6 Ga IP66/IP67 ПАШК.685552.002</v>
      </c>
      <c r="B1218" s="13" t="str">
        <f ca="1">IFERROR(__xludf.DUMMYFUNCTION("""COMPUTED_VALUE"""),"коробка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Т31</v>
      </c>
      <c r="C1218" s="14">
        <f ca="1">IFERROR(__xludf.DUMMYFUNCTION("""COMPUTED_VALUE"""),21464.377)</f>
        <v>21464.377</v>
      </c>
      <c r="D1218" s="13"/>
    </row>
    <row r="1219" spans="1:4" ht="76.5">
      <c r="A1219" s="12" t="str">
        <f ca="1">IFERROR(__xludf.DUMMYFUNCTION("""COMPUTED_VALUE"""),"КВСК-Ех «СЕВЕР» АБС.8.МКВ М25КМ20.10-14.РМ2 0Ex iа IIC T6 Ga IP66/IP67 ПАШК.685552.002")</f>
        <v>КВСК-Ех «СЕВЕР» АБС.8.МКВ М25КМ20.10-14.РМ2 0Ex iа IIC T6 Ga IP66/IP67 ПАШК.685552.002</v>
      </c>
      <c r="B1219" s="13" t="str">
        <f ca="1">IFERROR(__xludf.DUMMYFUNCTION("""COMPUTED_VALUE"""),"коробка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РМ2")</f>
        <v>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РМ2</v>
      </c>
      <c r="C1219" s="14">
        <f ca="1">IFERROR(__xludf.DUMMYFUNCTION("""COMPUTED_VALUE"""),22715.374)</f>
        <v>22715.374</v>
      </c>
      <c r="D1219" s="13"/>
    </row>
    <row r="1220" spans="1:4" ht="76.5">
      <c r="A1220" s="12" t="str">
        <f ca="1">IFERROR(__xludf.DUMMYFUNCTION("""COMPUTED_VALUE"""),"КВСК-Ех «СЕВЕР» АБС.8.МКВ М25КМ20.10-14.Т31 0Ex iа IIC T6 Ga IP66/IP67 ПАШК.685552.002")</f>
        <v>КВСК-Ех «СЕВЕР» АБС.8.МКВ М25КМ20.10-14.Т31 0Ex iа IIC T6 Ga IP66/IP67 ПАШК.685552.002</v>
      </c>
      <c r="B1220" s="13" t="str">
        <f ca="1">IFERROR(__xludf.DUMMYFUNCTION("""COMPUTED_VALUE"""),"коробка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Т31")</f>
        <v>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Т31</v>
      </c>
      <c r="C1220" s="14">
        <f ca="1">IFERROR(__xludf.DUMMYFUNCTION("""COMPUTED_VALUE"""),21464.377)</f>
        <v>21464.377</v>
      </c>
      <c r="D1220" s="13"/>
    </row>
    <row r="1221" spans="1:4" ht="76.5">
      <c r="A1221" s="12" t="str">
        <f ca="1">IFERROR(__xludf.DUMMYFUNCTION("""COMPUTED_VALUE"""),"КВСК-Ех «СЕВЕР» АБС.8.МКВ М25КМ25.10-14.РМ2 0Ex iа IIC T6 Ga IP66/IP67 ПАШК.685552.002")</f>
        <v>КВСК-Ех «СЕВЕР» АБС.8.МКВ М25КМ25.10-14.РМ2 0Ex iа IIC T6 Ga IP66/IP67 ПАШК.685552.002</v>
      </c>
      <c r="B1221" s="13" t="str">
        <f ca="1">IFERROR(__xludf.DUMMYFUNCTION("""COMPUTED_VALUE"""),"коробка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РМ2")</f>
        <v>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РМ2</v>
      </c>
      <c r="C1221" s="14">
        <f ca="1">IFERROR(__xludf.DUMMYFUNCTION("""COMPUTED_VALUE"""),22715.374)</f>
        <v>22715.374</v>
      </c>
      <c r="D1221" s="13"/>
    </row>
    <row r="1222" spans="1:4" ht="76.5">
      <c r="A1222" s="12" t="str">
        <f ca="1">IFERROR(__xludf.DUMMYFUNCTION("""COMPUTED_VALUE"""),"КВСК-Ех «СЕВЕР» АБС.8.МКВ М25КМ25.10-14.Т31 0Ex iа IIC T6 Ga IP66/IP67 ПАШК.685552.002")</f>
        <v>КВСК-Ех «СЕВЕР» АБС.8.МКВ М25КМ25.10-14.Т31 0Ex iа IIC T6 Ga IP66/IP67 ПАШК.685552.002</v>
      </c>
      <c r="B1222" s="13" t="str">
        <f ca="1">IFERROR(__xludf.DUMMYFUNCTION("""COMPUTED_VALUE"""),"коробка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Т31")</f>
        <v>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Т31</v>
      </c>
      <c r="C1222" s="14">
        <f ca="1">IFERROR(__xludf.DUMMYFUNCTION("""COMPUTED_VALUE"""),21464.377)</f>
        <v>21464.377</v>
      </c>
      <c r="D1222" s="13"/>
    </row>
    <row r="1223" spans="1:4" ht="76.5">
      <c r="A1223" s="12" t="str">
        <f ca="1">IFERROR(__xludf.DUMMYFUNCTION("""COMPUTED_VALUE"""),"КВСК-Ех «СЕВЕР» АБС.8.МКВ М25В.10-14.РМ2 0Ex iа IIC T6 Ga IP66/IP67 ПАШК.685552.002")</f>
        <v>КВСК-Ех «СЕВЕР» АБС.8.МКВ М25В.10-14.РМ2 0Ex iа IIC T6 Ga IP66/IP67 ПАШК.685552.002</v>
      </c>
      <c r="B1223" s="13" t="str">
        <f ca="1">IFERROR(__xludf.DUMMYFUNCTION("""COMPUTED_VALUE"""),"коробка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РМ2</v>
      </c>
      <c r="C1223" s="14">
        <f ca="1">IFERROR(__xludf.DUMMYFUNCTION("""COMPUTED_VALUE"""),22715.374)</f>
        <v>22715.374</v>
      </c>
      <c r="D1223" s="13"/>
    </row>
    <row r="1224" spans="1:4" ht="76.5">
      <c r="A1224" s="12" t="str">
        <f ca="1">IFERROR(__xludf.DUMMYFUNCTION("""COMPUTED_VALUE"""),"КВСК-Ех «СЕВЕР» АБС.8.МКВ М25В.10-14.Т31 0Ex iа IIC T6 Ga IP66/IP67 ПАШК.685552.002")</f>
        <v>КВСК-Ех «СЕВЕР» АБС.8.МКВ М25В.10-14.Т31 0Ex iа IIC T6 Ga IP66/IP67 ПАШК.685552.002</v>
      </c>
      <c r="B1224" s="13" t="str">
        <f ca="1">IFERROR(__xludf.DUMMYFUNCTION("""COMPUTED_VALUE"""),"коробка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Т31</v>
      </c>
      <c r="C1224" s="14">
        <f ca="1">IFERROR(__xludf.DUMMYFUNCTION("""COMPUTED_VALUE"""),21464.377)</f>
        <v>21464.377</v>
      </c>
      <c r="D1224" s="13"/>
    </row>
    <row r="1225" spans="1:4" ht="89.25">
      <c r="A1225" s="12" t="str">
        <f ca="1">IFERROR(__xludf.DUMMYFUNCTION("""COMPUTED_VALUE"""),"КВСК-Ех «СЕВЕР» АБС.8.МКВ М25В2.10-14.РМ2 0Ex iа IIC T6 Ga IP66/IP67 ПАШК.685552.002")</f>
        <v>КВСК-Ех «СЕВЕР» АБС.8.МКВ М25В2.10-14.РМ2 0Ex iа IIC T6 Ga IP66/IP67 ПАШК.685552.002</v>
      </c>
      <c r="B1225" s="13" t="str">
        <f ca="1">IFERROR(__xludf.DUMMYFUNCTION("""COMPUTED_VALUE"""),"коробка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РМ2</v>
      </c>
      <c r="C1225" s="14">
        <f ca="1">IFERROR(__xludf.DUMMYFUNCTION("""COMPUTED_VALUE"""),22715.374)</f>
        <v>22715.374</v>
      </c>
      <c r="D1225" s="13"/>
    </row>
    <row r="1226" spans="1:4" ht="89.25">
      <c r="A1226" s="12" t="str">
        <f ca="1">IFERROR(__xludf.DUMMYFUNCTION("""COMPUTED_VALUE"""),"КВСК-Ех «СЕВЕР» АБС.8.МКВ М25В2.10-14.Т31 0Ex iа IIC T6 Ga IP66/IP67 ПАШК.685552.002")</f>
        <v>КВСК-Ех «СЕВЕР» АБС.8.МКВ М25В2.10-14.Т31 0Ex iа IIC T6 Ga IP66/IP67 ПАШК.685552.002</v>
      </c>
      <c r="B1226" s="13" t="str">
        <f ca="1">IFERROR(__xludf.DUMMYFUNCTION("""COMPUTED_VALUE"""),"коробка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Т31</v>
      </c>
      <c r="C1226" s="14">
        <f ca="1">IFERROR(__xludf.DUMMYFUNCTION("""COMPUTED_VALUE"""),21464.377)</f>
        <v>21464.377</v>
      </c>
      <c r="D1226" s="13"/>
    </row>
    <row r="1227" spans="1:4" ht="38.25">
      <c r="A1227" s="12" t="str">
        <f ca="1">IFERROR(__xludf.DUMMYFUNCTION("""COMPUTED_VALUE"""),"УСБ-Ех""СЕВЕР""ПЛ.2.МТ.6-12.РМ2 0ExiaIICT6 ")</f>
        <v xml:space="preserve">УСБ-Ех"СЕВЕР"ПЛ.2.МТ.6-12.РМ2 0ExiaIICT6 </v>
      </c>
      <c r="B1227" s="13" t="str">
        <f ca="1">IFERROR(__xludf.DUMMYFUNCTION("""COMPUTED_VALUE"""),"Устройство в корпусе из антистатичного пластика, 2 металлических кабельных ввода (6-12), тип клеммников - РМ2")</f>
        <v>Устройство в корпусе из антистатичного пластика, 2 металлических кабельных ввода (6-12), тип клеммников - РМ2</v>
      </c>
      <c r="C1227" s="14">
        <f ca="1">IFERROR(__xludf.DUMMYFUNCTION("""COMPUTED_VALUE"""),9003.85)</f>
        <v>9003.85</v>
      </c>
      <c r="D1227" s="13"/>
    </row>
    <row r="1228" spans="1:4" ht="38.25">
      <c r="A1228" s="12" t="str">
        <f ca="1">IFERROR(__xludf.DUMMYFUNCTION("""COMPUTED_VALUE"""),"УСБ-Ех""СЕВЕР""ПЛ.2.МТ.6-12.Т31 0ExiaIICT6 ")</f>
        <v xml:space="preserve">УСБ-Ех"СЕВЕР"ПЛ.2.МТ.6-12.Т31 0ExiaIICT6 </v>
      </c>
      <c r="B1228" s="13" t="str">
        <f ca="1">IFERROR(__xludf.DUMMYFUNCTION("""COMPUTED_VALUE"""),"Устройство в корпусе из антистатичного пластика, 2 металлических кабельных ввода (6-12), тип клеммников - Т31")</f>
        <v>Устройство в корпусе из антистатичного пластика, 2 металлических кабельных ввода (6-12), тип клеммников - Т31</v>
      </c>
      <c r="C1228" s="14">
        <f ca="1">IFERROR(__xludf.DUMMYFUNCTION("""COMPUTED_VALUE"""),8883.05)</f>
        <v>8883.0499999999993</v>
      </c>
      <c r="D1228" s="13"/>
    </row>
    <row r="1229" spans="1:4" ht="38.25">
      <c r="A1229" s="12" t="str">
        <f ca="1">IFERROR(__xludf.DUMMYFUNCTION("""COMPUTED_VALUE"""),"УСБ-Ех""СЕВЕР""ПЛ.2.МТ.6-12.DG3 0ExiaIICT6")</f>
        <v>УСБ-Ех"СЕВЕР"ПЛ.2.МТ.6-12.DG3 0ExiaIICT6</v>
      </c>
      <c r="B1229" s="13" t="str">
        <f ca="1">IFERROR(__xludf.DUMMYFUNCTION("""COMPUTED_VALUE"""),"Устройство в корпусе из антистатичного пластика, 2 металлических кабельных ввода (6-12), тип клеммников - DG3")</f>
        <v>Устройство в корпусе из антистатичного пластика, 2 металлических кабельных ввода (6-12), тип клеммников - DG3</v>
      </c>
      <c r="C1229" s="14">
        <f ca="1">IFERROR(__xludf.DUMMYFUNCTION("""COMPUTED_VALUE"""),8352.64)</f>
        <v>8352.64</v>
      </c>
      <c r="D1229" s="13"/>
    </row>
    <row r="1230" spans="1:4" ht="38.25">
      <c r="A1230" s="12" t="str">
        <f ca="1">IFERROR(__xludf.DUMMYFUNCTION("""COMPUTED_VALUE"""),"УСБ-Ех""СЕВЕР""ПЛ.4.МТ.6-12.РМ2 0ExiaIICT6 ")</f>
        <v xml:space="preserve">УСБ-Ех"СЕВЕР"ПЛ.4.МТ.6-12.РМ2 0ExiaIICT6 </v>
      </c>
      <c r="B1230" s="13" t="str">
        <f ca="1">IFERROR(__xludf.DUMMYFUNCTION("""COMPUTED_VALUE"""),"Устройство в корпусе из антистатичного пластика, 4 металлических кабельных ввода (6-12), тип клеммников - РМ2")</f>
        <v>Устройство в корпусе из антистатичного пластика, 4 металлических кабельных ввода (6-12), тип клеммников - РМ2</v>
      </c>
      <c r="C1230" s="14">
        <f ca="1">IFERROR(__xludf.DUMMYFUNCTION("""COMPUTED_VALUE"""),13189.8)</f>
        <v>13189.8</v>
      </c>
      <c r="D1230" s="13"/>
    </row>
    <row r="1231" spans="1:4" ht="38.25">
      <c r="A1231" s="12" t="str">
        <f ca="1">IFERROR(__xludf.DUMMYFUNCTION("""COMPUTED_VALUE"""),"УСБ-Ех""СЕВЕР""ПЛ.4.МТ.6-12.Т31 0ExiaIICT6 ")</f>
        <v xml:space="preserve">УСБ-Ех"СЕВЕР"ПЛ.4.МТ.6-12.Т31 0ExiaIICT6 </v>
      </c>
      <c r="B1231" s="13" t="str">
        <f ca="1">IFERROR(__xludf.DUMMYFUNCTION("""COMPUTED_VALUE"""),"Устройство в корпусе из антистатичного пластика, 4 металлических кабельных ввода (6-12), тип клеммников - T31")</f>
        <v>Устройство в корпусе из антистатичного пластика, 4 металлических кабельных ввода (6-12), тип клеммников - T31</v>
      </c>
      <c r="C1231" s="14">
        <f ca="1">IFERROR(__xludf.DUMMYFUNCTION("""COMPUTED_VALUE"""),13052.76)</f>
        <v>13052.76</v>
      </c>
      <c r="D1231" s="13"/>
    </row>
    <row r="1232" spans="1:4" ht="38.25">
      <c r="A1232" s="12" t="str">
        <f ca="1">IFERROR(__xludf.DUMMYFUNCTION("""COMPUTED_VALUE"""),"УСБ-Ех""СЕВЕР""ПЛ.4.МТ.6-12.DG3 0ExiaIICT6 ")</f>
        <v xml:space="preserve">УСБ-Ех"СЕВЕР"ПЛ.4.МТ.6-12.DG3 0ExiaIICT6 </v>
      </c>
      <c r="B1232" s="13" t="str">
        <f ca="1">IFERROR(__xludf.DUMMYFUNCTION("""COMPUTED_VALUE"""),"Устройство в корпусе из антистатичного пластика, 4 металлических кабельных ввода (6-12), тип клеммников - DG3")</f>
        <v>Устройство в корпусе из антистатичного пластика, 4 металлических кабельных ввода (6-12), тип клеммников - DG3</v>
      </c>
      <c r="C1232" s="14">
        <f ca="1">IFERROR(__xludf.DUMMYFUNCTION("""COMPUTED_VALUE"""),12578.22)</f>
        <v>12578.22</v>
      </c>
      <c r="D1232" s="13"/>
    </row>
    <row r="1233" spans="1:4" ht="38.25">
      <c r="A1233" s="12" t="str">
        <f ca="1">IFERROR(__xludf.DUMMYFUNCTION("""COMPUTED_VALUE"""),"УСБ-Ех""СЕВЕР""ПЛ.6.МТ.6-12.РМ2 0ExiaIICT6 ")</f>
        <v xml:space="preserve">УСБ-Ех"СЕВЕР"ПЛ.6.МТ.6-12.РМ2 0ExiaIICT6 </v>
      </c>
      <c r="B1233" s="13" t="str">
        <f ca="1">IFERROR(__xludf.DUMMYFUNCTION("""COMPUTED_VALUE"""),"Устройство в корпусе из антистатичного пластика, 6 металлических кабельных вводов (6-12), тип клеммников - РМ2")</f>
        <v>Устройство в корпусе из антистатичного пластика, 6 металлических кабельных вводов (6-12), тип клеммников - РМ2</v>
      </c>
      <c r="C1233" s="14">
        <f ca="1">IFERROR(__xludf.DUMMYFUNCTION("""COMPUTED_VALUE"""),18286.32)</f>
        <v>18286.32</v>
      </c>
      <c r="D1233" s="13"/>
    </row>
    <row r="1234" spans="1:4" ht="38.25">
      <c r="A1234" s="12" t="str">
        <f ca="1">IFERROR(__xludf.DUMMYFUNCTION("""COMPUTED_VALUE"""),"УСБ-Ех""СЕВЕР""ПЛ.6.МТ.6-12.Т31 0ExiaIICT6 ")</f>
        <v xml:space="preserve">УСБ-Ех"СЕВЕР"ПЛ.6.МТ.6-12.Т31 0ExiaIICT6 </v>
      </c>
      <c r="B1234" s="13" t="str">
        <f ca="1">IFERROR(__xludf.DUMMYFUNCTION("""COMPUTED_VALUE"""),"Устройство в корпусе из антистатичного пластика, 6 металлических кабельных вводов (6-12), тип клеммников - T31")</f>
        <v>Устройство в корпусе из антистатичного пластика, 6 металлических кабельных вводов (6-12), тип клеммников - T31</v>
      </c>
      <c r="C1234" s="14">
        <f ca="1">IFERROR(__xludf.DUMMYFUNCTION("""COMPUTED_VALUE"""),18143.62)</f>
        <v>18143.62</v>
      </c>
      <c r="D1234" s="13"/>
    </row>
    <row r="1235" spans="1:4" ht="38.25">
      <c r="A1235" s="12" t="str">
        <f ca="1">IFERROR(__xludf.DUMMYFUNCTION("""COMPUTED_VALUE"""),"УСБ-Ех""СЕВЕР""ПЛ.6.МТ.6-12.DG3 0ExiaIICT6 ")</f>
        <v xml:space="preserve">УСБ-Ех"СЕВЕР"ПЛ.6.МТ.6-12.DG3 0ExiaIICT6 </v>
      </c>
      <c r="B1235" s="13" t="str">
        <f ca="1">IFERROR(__xludf.DUMMYFUNCTION("""COMPUTED_VALUE"""),"Устройство в корпусе из антистатичного пластика, 6 металлических кабельных вводов (6-12), тип клеммников - DG3")</f>
        <v>Устройство в корпусе из антистатичного пластика, 6 металлических кабельных вводов (6-12), тип клеммников - DG3</v>
      </c>
      <c r="C1235" s="14">
        <f ca="1">IFERROR(__xludf.DUMMYFUNCTION("""COMPUTED_VALUE"""),17700.02)</f>
        <v>17700.02</v>
      </c>
      <c r="D1235" s="13"/>
    </row>
    <row r="1236" spans="1:4" ht="38.25">
      <c r="A1236" s="12" t="str">
        <f ca="1">IFERROR(__xludf.DUMMYFUNCTION("""COMPUTED_VALUE"""),"УСБ-Ех""СЕВЕР""ПЛ.2.ПС.6-12.РМ2 0ExiaIICT6 ")</f>
        <v xml:space="preserve">УСБ-Ех"СЕВЕР"ПЛ.2.ПС.6-12.РМ2 0ExiaIICT6 </v>
      </c>
      <c r="B1236" s="13" t="str">
        <f ca="1">IFERROR(__xludf.DUMMYFUNCTION("""COMPUTED_VALUE"""),"Устройство в корпусе из антистатичного пластика, 2 пластиковых кабельных ввода (6-12), тип клеммников - РМ2")</f>
        <v>Устройство в корпусе из антистатичного пластика, 2 пластиковых кабельных ввода (6-12), тип клеммников - РМ2</v>
      </c>
      <c r="C1236" s="14">
        <f ca="1">IFERROR(__xludf.DUMMYFUNCTION("""COMPUTED_VALUE"""),2178)</f>
        <v>2178</v>
      </c>
      <c r="D1236" s="13"/>
    </row>
    <row r="1237" spans="1:4" ht="38.25">
      <c r="A1237" s="12" t="str">
        <f ca="1">IFERROR(__xludf.DUMMYFUNCTION("""COMPUTED_VALUE"""),"УСБ-Ех""СЕВЕР""ПЛ.2.ПС.13-18.РМ2 0ExiaIICT6 ")</f>
        <v xml:space="preserve">УСБ-Ех"СЕВЕР"ПЛ.2.ПС.13-18.РМ2 0ExiaIICT6 </v>
      </c>
      <c r="B1237" s="13" t="str">
        <f ca="1">IFERROR(__xludf.DUMMYFUNCTION("""COMPUTED_VALUE"""),"Устройство в корпусе из антистатичного пластика, 2 пластиковых кабельных ввода (11-17), тип клеммников - РМ2")</f>
        <v>Устройство в корпусе из антистатичного пластика, 2 пластиковых кабельных ввода (11-17), тип клеммников - РМ2</v>
      </c>
      <c r="C1237" s="14">
        <f ca="1">IFERROR(__xludf.DUMMYFUNCTION("""COMPUTED_VALUE"""),2178)</f>
        <v>2178</v>
      </c>
      <c r="D1237" s="13"/>
    </row>
    <row r="1238" spans="1:4" ht="38.25">
      <c r="A1238" s="12" t="str">
        <f ca="1">IFERROR(__xludf.DUMMYFUNCTION("""COMPUTED_VALUE"""),"УСБ-Ех""СЕВЕР"" ПЛ.2.ПС.6-12.Т31 0ExiaIICT6")</f>
        <v>УСБ-Ех"СЕВЕР" ПЛ.2.ПС.6-12.Т31 0ExiaIICT6</v>
      </c>
      <c r="B1238" s="13" t="str">
        <f ca="1">IFERROR(__xludf.DUMMYFUNCTION("""COMPUTED_VALUE"""),"Устройство в корпусе из антистатичного пластика, 2 пластиковых кабельных ввода (6-12), тип клеммников - Т31")</f>
        <v>Устройство в корпусе из антистатичного пластика, 2 пластиковых кабельных ввода (6-12), тип клеммников - Т31</v>
      </c>
      <c r="C1238" s="14">
        <f ca="1">IFERROR(__xludf.DUMMYFUNCTION("""COMPUTED_VALUE"""),2057)</f>
        <v>2057</v>
      </c>
      <c r="D1238" s="13"/>
    </row>
    <row r="1239" spans="1:4" ht="38.25">
      <c r="A1239" s="12" t="str">
        <f ca="1">IFERROR(__xludf.DUMMYFUNCTION("""COMPUTED_VALUE"""),"УСБ-Ех""СЕВЕР""ПЛ.2.ПС.13-18.Т31 0ExiaIICT6 ")</f>
        <v xml:space="preserve">УСБ-Ех"СЕВЕР"ПЛ.2.ПС.13-18.Т31 0ExiaIICT6 </v>
      </c>
      <c r="B1239" s="13" t="str">
        <f ca="1">IFERROR(__xludf.DUMMYFUNCTION("""COMPUTED_VALUE"""),"Устройство в корпусе из антистатичного пластика, 2 пластиковых кабельных ввода (11-17), тип клеммников - Т31")</f>
        <v>Устройство в корпусе из антистатичного пластика, 2 пластиковых кабельных ввода (11-17), тип клеммников - Т31</v>
      </c>
      <c r="C1239" s="14">
        <f ca="1">IFERROR(__xludf.DUMMYFUNCTION("""COMPUTED_VALUE"""),2057)</f>
        <v>2057</v>
      </c>
      <c r="D1239" s="13"/>
    </row>
    <row r="1240" spans="1:4" ht="38.25">
      <c r="A1240" s="12" t="str">
        <f ca="1">IFERROR(__xludf.DUMMYFUNCTION("""COMPUTED_VALUE"""),"УСБ-Ех""СЕВЕР""ПЛ.2.ПС.6-12.DG3 0ExiaIICT6 ")</f>
        <v xml:space="preserve">УСБ-Ех"СЕВЕР"ПЛ.2.ПС.6-12.DG3 0ExiaIICT6 </v>
      </c>
      <c r="B1240" s="13" t="str">
        <f ca="1">IFERROR(__xludf.DUMMYFUNCTION("""COMPUTED_VALUE"""),"Устройство в корпусе из антистатичного пластика, 2 пластиковых кабельных ввода (6-12), тип клеммников - DG3")</f>
        <v>Устройство в корпусе из антистатичного пластика, 2 пластиковых кабельных ввода (6-12), тип клеммников - DG3</v>
      </c>
      <c r="C1240" s="14">
        <f ca="1">IFERROR(__xludf.DUMMYFUNCTION("""COMPUTED_VALUE"""),1718.2)</f>
        <v>1718.2</v>
      </c>
      <c r="D1240" s="13"/>
    </row>
    <row r="1241" spans="1:4" ht="38.25">
      <c r="A1241" s="12" t="str">
        <f ca="1">IFERROR(__xludf.DUMMYFUNCTION("""COMPUTED_VALUE"""),"УСБ-Ех""СЕВЕР""ПЛ.2.ПС.13-18. DG3 0ExiaIICT6 ")</f>
        <v xml:space="preserve">УСБ-Ех"СЕВЕР"ПЛ.2.ПС.13-18. DG3 0ExiaIICT6 </v>
      </c>
      <c r="B1241" s="13" t="str">
        <f ca="1">IFERROR(__xludf.DUMMYFUNCTION("""COMPUTED_VALUE"""),"Устройство в корпусе из антистатичного пластика, 2 пластиковых кабельных ввода (11-17), тип клеммников - DG3")</f>
        <v>Устройство в корпусе из антистатичного пластика, 2 пластиковых кабельных ввода (11-17), тип клеммников - DG3</v>
      </c>
      <c r="C1241" s="14">
        <f ca="1">IFERROR(__xludf.DUMMYFUNCTION("""COMPUTED_VALUE"""),1718.2)</f>
        <v>1718.2</v>
      </c>
      <c r="D1241" s="13"/>
    </row>
    <row r="1242" spans="1:4" ht="38.25">
      <c r="A1242" s="12" t="str">
        <f ca="1">IFERROR(__xludf.DUMMYFUNCTION("""COMPUTED_VALUE"""),"УСБ-Ех""СЕВЕР""ПЛ.4.ПС.6-12.РМ2 0ExiaIICT6")</f>
        <v>УСБ-Ех"СЕВЕР"ПЛ.4.ПС.6-12.РМ2 0ExiaIICT6</v>
      </c>
      <c r="B1242" s="13" t="str">
        <f ca="1">IFERROR(__xludf.DUMMYFUNCTION("""COMPUTED_VALUE"""),"Устройство в корпусе из антистатичного пластика, 4 пластиковых кабельных ввода (6-12), тип клеммников - РМ2")</f>
        <v>Устройство в корпусе из антистатичного пластика, 4 пластиковых кабельных ввода (6-12), тип клеммников - РМ2</v>
      </c>
      <c r="C1242" s="14">
        <f ca="1">IFERROR(__xludf.DUMMYFUNCTION("""COMPUTED_VALUE"""),2299)</f>
        <v>2299</v>
      </c>
      <c r="D1242" s="13"/>
    </row>
    <row r="1243" spans="1:4" ht="38.25">
      <c r="A1243" s="12" t="str">
        <f ca="1">IFERROR(__xludf.DUMMYFUNCTION("""COMPUTED_VALUE"""),"УСБ-Ех""СЕВЕР""ПЛ.4.ПС.13-18.РМ2 0ExiaIICT6 ")</f>
        <v xml:space="preserve">УСБ-Ех"СЕВЕР"ПЛ.4.ПС.13-18.РМ2 0ExiaIICT6 </v>
      </c>
      <c r="B1243" s="13" t="str">
        <f ca="1">IFERROR(__xludf.DUMMYFUNCTION("""COMPUTED_VALUE"""),"Устройство в корпусе из антистатичного пластика, 4 пластиковых кабельных ввода (11-17), тип клеммников - РМ3")</f>
        <v>Устройство в корпусе из антистатичного пластика, 4 пластиковых кабельных ввода (11-17), тип клеммников - РМ3</v>
      </c>
      <c r="C1243" s="14">
        <f ca="1">IFERROR(__xludf.DUMMYFUNCTION("""COMPUTED_VALUE"""),2299)</f>
        <v>2299</v>
      </c>
      <c r="D1243" s="13"/>
    </row>
    <row r="1244" spans="1:4" ht="38.25">
      <c r="A1244" s="12" t="str">
        <f ca="1">IFERROR(__xludf.DUMMYFUNCTION("""COMPUTED_VALUE"""),"УСБ-Ех""СЕВЕР""ПЛ.4.ПС.6-12.Т31 0ExiaIICT6")</f>
        <v>УСБ-Ех"СЕВЕР"ПЛ.4.ПС.6-12.Т31 0ExiaIICT6</v>
      </c>
      <c r="B1244" s="13" t="str">
        <f ca="1">IFERROR(__xludf.DUMMYFUNCTION("""COMPUTED_VALUE"""),"Устройство в корпусе из антистатичного пластика, 4 пластиковых кабельных ввода (6-12), тип клеммников - T31")</f>
        <v>Устройство в корпусе из антистатичного пластика, 4 пластиковых кабельных ввода (6-12), тип клеммников - T31</v>
      </c>
      <c r="C1244" s="14">
        <f ca="1">IFERROR(__xludf.DUMMYFUNCTION("""COMPUTED_VALUE"""),2117.5)</f>
        <v>2117.5</v>
      </c>
      <c r="D1244" s="13"/>
    </row>
    <row r="1245" spans="1:4" ht="38.25">
      <c r="A1245" s="12" t="str">
        <f ca="1">IFERROR(__xludf.DUMMYFUNCTION("""COMPUTED_VALUE"""),"УСБ-Ех""СЕВЕР""ПЛ.4.ПС.13-18.Т31 0ExiaIICT6 ")</f>
        <v xml:space="preserve">УСБ-Ех"СЕВЕР"ПЛ.4.ПС.13-18.Т31 0ExiaIICT6 </v>
      </c>
      <c r="B1245" s="13" t="str">
        <f ca="1">IFERROR(__xludf.DUMMYFUNCTION("""COMPUTED_VALUE"""),"Устройство в корпусе из антистатичного пластика, 4 пластиковых кабельных ввода (11-17), тип клеммников - T31")</f>
        <v>Устройство в корпусе из антистатичного пластика, 4 пластиковых кабельных ввода (11-17), тип клеммников - T31</v>
      </c>
      <c r="C1245" s="14">
        <f ca="1">IFERROR(__xludf.DUMMYFUNCTION("""COMPUTED_VALUE"""),2117.5)</f>
        <v>2117.5</v>
      </c>
      <c r="D1245" s="13"/>
    </row>
    <row r="1246" spans="1:4" ht="38.25">
      <c r="A1246" s="12" t="str">
        <f ca="1">IFERROR(__xludf.DUMMYFUNCTION("""COMPUTED_VALUE"""),"УСБ-Ех""СЕВЕР""ПЛ.4.ПС.6-12.DG3 0ExiaIICT6")</f>
        <v>УСБ-Ех"СЕВЕР"ПЛ.4.ПС.6-12.DG3 0ExiaIICT6</v>
      </c>
      <c r="B1246" s="13" t="str">
        <f ca="1">IFERROR(__xludf.DUMMYFUNCTION("""COMPUTED_VALUE"""),"Устройство в корпусе из антистатичного пластика, 4 пластиковых кабельных ввода (6-12), тип клеммников - DG3")</f>
        <v>Устройство в корпусе из антистатичного пластика, 4 пластиковых кабельных ввода (6-12), тип клеммников - DG3</v>
      </c>
      <c r="C1246" s="14">
        <f ca="1">IFERROR(__xludf.DUMMYFUNCTION("""COMPUTED_VALUE"""),1815)</f>
        <v>1815</v>
      </c>
      <c r="D1246" s="13"/>
    </row>
    <row r="1247" spans="1:4" ht="38.25">
      <c r="A1247" s="12" t="str">
        <f ca="1">IFERROR(__xludf.DUMMYFUNCTION("""COMPUTED_VALUE"""),"УСБ-Ех""СЕВЕР""ПЛ.4.ПС.13-18.DG3 0ExiaIICT6")</f>
        <v>УСБ-Ех"СЕВЕР"ПЛ.4.ПС.13-18.DG3 0ExiaIICT6</v>
      </c>
      <c r="B1247" s="13" t="str">
        <f ca="1">IFERROR(__xludf.DUMMYFUNCTION("""COMPUTED_VALUE"""),"Устройство в корпусе из антистатичного пластика, 4 пластиковых кабельных ввода (11-17), тип клеммников - DG3")</f>
        <v>Устройство в корпусе из антистатичного пластика, 4 пластиковых кабельных ввода (11-17), тип клеммников - DG3</v>
      </c>
      <c r="C1247" s="14">
        <f ca="1">IFERROR(__xludf.DUMMYFUNCTION("""COMPUTED_VALUE"""),1815)</f>
        <v>1815</v>
      </c>
      <c r="D1247" s="13"/>
    </row>
    <row r="1248" spans="1:4" ht="38.25">
      <c r="A1248" s="12" t="str">
        <f ca="1">IFERROR(__xludf.DUMMYFUNCTION("""COMPUTED_VALUE"""),"УСБ-Ех""СЕВЕР""ПЛ.6.ПС.6-12.РМ2 0ExiaIICT6 ")</f>
        <v xml:space="preserve">УСБ-Ех"СЕВЕР"ПЛ.6.ПС.6-12.РМ2 0ExiaIICT6 </v>
      </c>
      <c r="B1248" s="13" t="str">
        <f ca="1">IFERROR(__xludf.DUMMYFUNCTION("""COMPUTED_VALUE"""),"Устройство в корпусе из антистатичного пластика, 6 пластиковых кабельных вводов (6-12), тип клеммников - РМ2")</f>
        <v>Устройство в корпусе из антистатичного пластика, 6 пластиковых кабельных вводов (6-12), тип клеммников - РМ2</v>
      </c>
      <c r="C1248" s="14">
        <f ca="1">IFERROR(__xludf.DUMMYFUNCTION("""COMPUTED_VALUE"""),2904)</f>
        <v>2904</v>
      </c>
      <c r="D1248" s="13"/>
    </row>
    <row r="1249" spans="1:4" ht="38.25">
      <c r="A1249" s="12" t="str">
        <f ca="1">IFERROR(__xludf.DUMMYFUNCTION("""COMPUTED_VALUE"""),"УСБ-Ех""СЕВЕР""ПЛ.6.ПС.13-18.РМ2 0ExiaIICT6")</f>
        <v>УСБ-Ех"СЕВЕР"ПЛ.6.ПС.13-18.РМ2 0ExiaIICT6</v>
      </c>
      <c r="B1249" s="13" t="str">
        <f ca="1">IFERROR(__xludf.DUMMYFUNCTION("""COMPUTED_VALUE"""),"Устройство в корпусе из антистатичного пластика, 6 пластиковых кабельных вводов (11-17), тип клеммников - РМ2")</f>
        <v>Устройство в корпусе из антистатичного пластика, 6 пластиковых кабельных вводов (11-17), тип клеммников - РМ2</v>
      </c>
      <c r="C1249" s="14">
        <f ca="1">IFERROR(__xludf.DUMMYFUNCTION("""COMPUTED_VALUE"""),2904)</f>
        <v>2904</v>
      </c>
      <c r="D1249" s="13"/>
    </row>
    <row r="1250" spans="1:4" ht="38.25">
      <c r="A1250" s="12" t="str">
        <f ca="1">IFERROR(__xludf.DUMMYFUNCTION("""COMPUTED_VALUE"""),"УСБ-Ех""СЕВЕР""ПЛ.6.ПС.6-12.Т31 0ExiaIICT6 ")</f>
        <v xml:space="preserve">УСБ-Ех"СЕВЕР"ПЛ.6.ПС.6-12.Т31 0ExiaIICT6 </v>
      </c>
      <c r="B1250" s="13" t="str">
        <f ca="1">IFERROR(__xludf.DUMMYFUNCTION("""COMPUTED_VALUE"""),"Устройство в корпусе из антистатичного пластика, 6 пластиковых кабельных вводов (6-12), тип клеммников - T31")</f>
        <v>Устройство в корпусе из антистатичного пластика, 6 пластиковых кабельных вводов (6-12), тип клеммников - T31</v>
      </c>
      <c r="C1250" s="14">
        <f ca="1">IFERROR(__xludf.DUMMYFUNCTION("""COMPUTED_VALUE"""),2601.5)</f>
        <v>2601.5</v>
      </c>
      <c r="D1250" s="13"/>
    </row>
    <row r="1251" spans="1:4" ht="38.25">
      <c r="A1251" s="12" t="str">
        <f ca="1">IFERROR(__xludf.DUMMYFUNCTION("""COMPUTED_VALUE"""),"УСБ-Ех""СЕВЕР""ПЛ.6.ПС.13-18.Т31 0ExiaIICT6 ")</f>
        <v xml:space="preserve">УСБ-Ех"СЕВЕР"ПЛ.6.ПС.13-18.Т31 0ExiaIICT6 </v>
      </c>
      <c r="B1251" s="13" t="str">
        <f ca="1">IFERROR(__xludf.DUMMYFUNCTION("""COMPUTED_VALUE"""),"Устройство в корпусе из антистатичного пластика, 6 пластиковых кабельных вводов (11-17), тип клеммников - T31")</f>
        <v>Устройство в корпусе из антистатичного пластика, 6 пластиковых кабельных вводов (11-17), тип клеммников - T31</v>
      </c>
      <c r="C1251" s="14">
        <f ca="1">IFERROR(__xludf.DUMMYFUNCTION("""COMPUTED_VALUE"""),2601.5)</f>
        <v>2601.5</v>
      </c>
      <c r="D1251" s="13"/>
    </row>
    <row r="1252" spans="1:4" ht="38.25">
      <c r="A1252" s="12" t="str">
        <f ca="1">IFERROR(__xludf.DUMMYFUNCTION("""COMPUTED_VALUE"""),"УСБ-Ех""СЕВЕР""ПЛ.6.ПС.6-12.DG3 0ExiaIICT6")</f>
        <v>УСБ-Ех"СЕВЕР"ПЛ.6.ПС.6-12.DG3 0ExiaIICT6</v>
      </c>
      <c r="B1252" s="13" t="str">
        <f ca="1">IFERROR(__xludf.DUMMYFUNCTION("""COMPUTED_VALUE"""),"Устройство в корпусе из антистатичного пластика, 6 пластиковых кабельных вводов (6-12), тип клеммников - DG3")</f>
        <v>Устройство в корпусе из антистатичного пластика, 6 пластиковых кабельных вводов (6-12), тип клеммников - DG3</v>
      </c>
      <c r="C1252" s="14">
        <f ca="1">IFERROR(__xludf.DUMMYFUNCTION("""COMPUTED_VALUE"""),2299)</f>
        <v>2299</v>
      </c>
      <c r="D1252" s="13"/>
    </row>
    <row r="1253" spans="1:4" ht="38.25">
      <c r="A1253" s="12" t="str">
        <f ca="1">IFERROR(__xludf.DUMMYFUNCTION("""COMPUTED_VALUE"""),"УСБ-Ех""СЕВЕР""ПЛ.6.ПС.13-18.DG3 0ExiaIICT6 ")</f>
        <v xml:space="preserve">УСБ-Ех"СЕВЕР"ПЛ.6.ПС.13-18.DG3 0ExiaIICT6 </v>
      </c>
      <c r="B1253" s="13" t="str">
        <f ca="1">IFERROR(__xludf.DUMMYFUNCTION("""COMPUTED_VALUE"""),"Устройство в корпусе из антистатичного пластика, 6 пластиковых кабельных вводов (11-17), тип клеммников - DG3")</f>
        <v>Устройство в корпусе из антистатичного пластика, 6 пластиковых кабельных вводов (11-17), тип клеммников - DG3</v>
      </c>
      <c r="C1253" s="14">
        <f ca="1">IFERROR(__xludf.DUMMYFUNCTION("""COMPUTED_VALUE"""),2299)</f>
        <v>2299</v>
      </c>
      <c r="D1253" s="13"/>
    </row>
    <row r="1254" spans="1:4" ht="51">
      <c r="A1254" s="12" t="str">
        <f ca="1">IFERROR(__xludf.DUMMYFUNCTION("""COMPUTED_VALUE"""),"УС-4 (каб.вводы 3-5,3мм) ПАШК.425212.050")</f>
        <v>УС-4 (каб.вводы 3-5,3мм) ПАШК.425212.050</v>
      </c>
      <c r="B1254" s="13" t="str">
        <f ca="1">IFERROR(__xludf.DUMMYFUNCTION("""COMPUTED_VALUE"""),"Коробка соединительная, до 16 клемм , до 4 кабельных вводов. Обеспечивают ввод подключаемого кабеля диаметром от 3 до 5,3 мм")</f>
        <v>Коробка соединительная, до 16 клемм , до 4 кабельных вводов. Обеспечивают ввод подключаемого кабеля диаметром от 3 до 5,3 мм</v>
      </c>
      <c r="C1254" s="14">
        <f ca="1">IFERROR(__xludf.DUMMYFUNCTION("""COMPUTED_VALUE"""),513.92)</f>
        <v>513.91999999999996</v>
      </c>
      <c r="D1254" s="13"/>
    </row>
    <row r="1255" spans="1:4" ht="51">
      <c r="A1255" s="12" t="str">
        <f ca="1">IFERROR(__xludf.DUMMYFUNCTION("""COMPUTED_VALUE"""),"УС-4 (каб.вводы 4,5-8мм) ПАШК.425212.050")</f>
        <v>УС-4 (каб.вводы 4,5-8мм) ПАШК.425212.050</v>
      </c>
      <c r="B1255" s="13" t="str">
        <f ca="1">IFERROR(__xludf.DUMMYFUNCTION("""COMPUTED_VALUE"""),"Коробка соединительная, до 16 клемм , до 4 кабельных вводов. Обеспечивают ввод подключаемого кабеля диаметром от 4,5 до 8 мм")</f>
        <v>Коробка соединительная, до 16 клемм , до 4 кабельных вводов. Обеспечивают ввод подключаемого кабеля диаметром от 4,5 до 8 мм</v>
      </c>
      <c r="C1255" s="14">
        <f ca="1">IFERROR(__xludf.DUMMYFUNCTION("""COMPUTED_VALUE"""),577.5)</f>
        <v>577.5</v>
      </c>
      <c r="D1255" s="13"/>
    </row>
    <row r="1256" spans="1:4" ht="63.75">
      <c r="A1256" s="12" t="str">
        <f ca="1">IFERROR(__xludf.DUMMYFUNCTION("""COMPUTED_VALUE"""),"УС-4Т (каб.вводы 3-5,3мм) ПАШК.425212.050")</f>
        <v>УС-4Т (каб.вводы 3-5,3мм) ПАШК.425212.050</v>
      </c>
      <c r="B1256" s="13" t="str">
        <f ca="1">IFERROR(__xludf.DUMMYFUNCTION("""COMPUTED_VALUE"""),"Коробка соединительная с защитой от вскрытия (тампером), до 16 клемм , до 4 кабельных вводов. Обеспечивают ввод подключаемого кабеля диаметром от 3 до 5,3 мм")</f>
        <v>Коробка соединительная с защитой от вскрытия (тампером), до 16 клемм , до 4 кабельных вводов. Обеспечивают ввод подключаемого кабеля диаметром от 3 до 5,3 мм</v>
      </c>
      <c r="C1256" s="14">
        <f ca="1">IFERROR(__xludf.DUMMYFUNCTION("""COMPUTED_VALUE"""),742.5)</f>
        <v>742.5</v>
      </c>
      <c r="D1256" s="13"/>
    </row>
    <row r="1257" spans="1:4" ht="63.75">
      <c r="A1257" s="12" t="str">
        <f ca="1">IFERROR(__xludf.DUMMYFUNCTION("""COMPUTED_VALUE"""),"УС-4Т (каб.вводы 4,5-8мм) ПАШК.425212.050")</f>
        <v>УС-4Т (каб.вводы 4,5-8мм) ПАШК.425212.050</v>
      </c>
      <c r="B1257" s="13" t="str">
        <f ca="1">IFERROR(__xludf.DUMMYFUNCTION("""COMPUTED_VALUE"""),"Коробка соединительная с защитой от вскрытия (тампером), до 16 клемм , до 4 кабельных вводов. Обеспечивают ввод подключаемого кабеля диаметром от 4,5 до 8 мм")</f>
        <v>Коробка соединительная с защитой от вскрытия (тампером), до 16 клемм , до 4 кабельных вводов. Обеспечивают ввод подключаемого кабеля диаметром от 4,5 до 8 мм</v>
      </c>
      <c r="C1257" s="14">
        <f ca="1">IFERROR(__xludf.DUMMYFUNCTION("""COMPUTED_VALUE"""),797.4989)</f>
        <v>797.49890000000005</v>
      </c>
      <c r="D1257" s="13"/>
    </row>
    <row r="1258" spans="1:4" ht="89.25">
      <c r="A1258" s="12" t="str">
        <f ca="1">IFERROR(__xludf.DUMMYFUNCTION("""COMPUTED_VALUE"""),"Коробка пластиковая IP67 195х80х75 ""СЕВЕР"" АТФЕ. 685552. 003 ТУ")</f>
        <v>Коробка пластиковая IP67 195х80х75 "СЕВЕР" АТФЕ. 685552. 003 ТУ</v>
      </c>
      <c r="B1258" s="13" t="str">
        <f ca="1">IFERROR(__xludf.DUMMYFUNCTION("""COMPUTED_VALUE"""),"Герметичный корпус. Габаритные размеры: длина 195 мм, ширина 80 мм и высота 75 мм.
 Соединение основания и крышки выполнено по технологии «выступ - паз», 
 Обеспечивается защита от проникновения пыли и влаги.")</f>
        <v>Герметичный корпус. Габаритные размеры: длина 195 мм, ширина 80 мм и высота 75 мм.
 Соединение основания и крышки выполнено по технологии «выступ - паз», 
 Обеспечивается защита от проникновения пыли и влаги.</v>
      </c>
      <c r="C1258" s="14">
        <f ca="1">IFERROR(__xludf.DUMMYFUNCTION("""COMPUTED_VALUE"""),1151.5207)</f>
        <v>1151.5207</v>
      </c>
      <c r="D1258" s="13"/>
    </row>
    <row r="1259" spans="1:4" ht="114.75">
      <c r="A1259" s="12" t="str">
        <f ca="1">IFERROR(__xludf.DUMMYFUNCTION("""COMPUTED_VALUE"""),"КСП ""СЕВЕР"" ПЛ.2-РМ2-11 АТФЕ.685552.110 ПС IP66")</f>
        <v>КСП "СЕВЕР" ПЛ.2-РМ2-11 АТФЕ.685552.110 ПС IP66</v>
      </c>
      <c r="B1259" s="13" t="str">
        <f ca="1">IFERROR(__xludf.DUMMYFUNCTION("""COMPUTED_VALUE"""),"Коробка соединительная. Корпус выполнен из пластика, оборудован герметичными пластиковыми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подклю"&amp;"чения соединяемых проводников.")</f>
        <v>Коробка соединительная. Корпус выполнен из пластика, оборудован герметичными пластиковыми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59" s="14">
        <f ca="1">IFERROR(__xludf.DUMMYFUNCTION("""COMPUTED_VALUE"""),1378.0085)</f>
        <v>1378.0084999999999</v>
      </c>
      <c r="D1259" s="13"/>
    </row>
    <row r="1260" spans="1:4" ht="114.75">
      <c r="A1260" s="12" t="str">
        <f ca="1">IFERROR(__xludf.DUMMYFUNCTION("""COMPUTED_VALUE"""),"КСП ""СЕВЕР"" ПЛ.4-РМ2-11 АТФЕ.685552.110 ПС IP66")</f>
        <v>КСП "СЕВЕР" ПЛ.4-РМ2-11 АТФЕ.685552.110 ПС IP66</v>
      </c>
      <c r="B1260" s="13" t="str">
        <f ca="1">IFERROR(__xludf.DUMMYFUNCTION("""COMPUTED_VALUE"""),"Коробка соединительная. Корпус выполнен из пластика, оборудован герметичными пластиковыми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подклю"&amp;"чения соединяемых проводников.")</f>
        <v>Коробка соединительная. Корпус выполнен из пластика, оборудован герметичными пластиковыми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0" s="14">
        <f ca="1">IFERROR(__xludf.DUMMYFUNCTION("""COMPUTED_VALUE"""),1478.8862)</f>
        <v>1478.8861999999999</v>
      </c>
      <c r="D1260" s="13"/>
    </row>
    <row r="1261" spans="1:4" ht="114.75">
      <c r="A1261" s="12" t="str">
        <f ca="1">IFERROR(__xludf.DUMMYFUNCTION("""COMPUTED_VALUE"""),"КСП ""СЕВЕР"" ПЛ.6-РМ2-11 АТФЕ.685552.110 ПС IP66")</f>
        <v>КСП "СЕВЕР" ПЛ.6-РМ2-11 АТФЕ.685552.110 ПС IP66</v>
      </c>
      <c r="B1261" s="13" t="str">
        <f ca="1">IFERROR(__xludf.DUMMYFUNCTION("""COMPUTED_VALUE"""),"Коробка соединительная. Корпус выполнен из пластика, оборудован герметичными пластиковыми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подклю"&amp;"чения соединяемых проводников.")</f>
        <v>Коробка соединительная. Корпус выполнен из пластика, оборудован герметичными пластиковыми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1" s="14">
        <f ca="1">IFERROR(__xludf.DUMMYFUNCTION("""COMPUTED_VALUE"""),1579.7639)</f>
        <v>1579.7638999999999</v>
      </c>
      <c r="D1261" s="13"/>
    </row>
    <row r="1262" spans="1:4" ht="102">
      <c r="A1262" s="12" t="str">
        <f ca="1">IFERROR(__xludf.DUMMYFUNCTION("""COMPUTED_VALUE"""),"КСП ""СЕВЕР"" МТ.2-РМ2-11 АТФЕ.685552.110 ПС IP66")</f>
        <v>КСП "СЕВЕР" МТ.2-РМ2-11 АТФЕ.685552.110 ПС IP66</v>
      </c>
      <c r="B1262" s="13" t="str">
        <f ca="1">IFERROR(__xludf.DUMMYFUNCTION("""COMPUTED_VALUE"""),"Коробка соединительная. Корпус выполнен из пластика, оборудован металлическими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подключения соеди"&amp;"няемых проводников.")</f>
        <v>Коробка соединительная. Корпус выполнен из пластика, оборудован металлическими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2" s="14">
        <f ca="1">IFERROR(__xludf.DUMMYFUNCTION("""COMPUTED_VALUE"""),1570.2533)</f>
        <v>1570.2533000000001</v>
      </c>
      <c r="D1262" s="13"/>
    </row>
    <row r="1263" spans="1:4" ht="102">
      <c r="A1263" s="12" t="str">
        <f ca="1">IFERROR(__xludf.DUMMYFUNCTION("""COMPUTED_VALUE"""),"КСП ""СЕВЕР"" МТ.4-РМ2-11 АТФЕ.685552.110 ПС IP66")</f>
        <v>КСП "СЕВЕР" МТ.4-РМ2-11 АТФЕ.685552.110 ПС IP66</v>
      </c>
      <c r="B1263" s="13" t="str">
        <f ca="1">IFERROR(__xludf.DUMMYFUNCTION("""COMPUTED_VALUE"""),"Коробка соединительная. Корпус выполнен из пластика, оборудован металлическими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подключения соеди"&amp;"няемых проводников.")</f>
        <v>Коробка соединительная. Корпус выполнен из пластика, оборудован металлическими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3" s="14">
        <f ca="1">IFERROR(__xludf.DUMMYFUNCTION("""COMPUTED_VALUE"""),1896.675)</f>
        <v>1896.675</v>
      </c>
      <c r="D1263" s="13"/>
    </row>
    <row r="1264" spans="1:4" ht="102">
      <c r="A1264" s="12" t="str">
        <f ca="1">IFERROR(__xludf.DUMMYFUNCTION("""COMPUTED_VALUE"""),"КСП ""СЕВЕР"" МТ.6-РМ2-11 АТФЕ.685552.110 ПС IP66")</f>
        <v>КСП "СЕВЕР" МТ.6-РМ2-11 АТФЕ.685552.110 ПС IP66</v>
      </c>
      <c r="B1264" s="13" t="str">
        <f ca="1">IFERROR(__xludf.DUMMYFUNCTION("""COMPUTED_VALUE"""),"Коробка соединительная. Корпус выполнен из пластика, оборудован металлическими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подключения соеди"&amp;"няемых проводников.")</f>
        <v>Коробка соединительная. Корпус выполнен из пластика, оборудован металлическими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4" s="14">
        <f ca="1">IFERROR(__xludf.DUMMYFUNCTION("""COMPUTED_VALUE"""),2224.6092)</f>
        <v>2224.6091999999999</v>
      </c>
      <c r="D1264" s="13"/>
    </row>
    <row r="1265" spans="1:4" ht="63.75">
      <c r="A1265" s="12" t="str">
        <f ca="1">IFERROR(__xludf.DUMMYFUNCTION("""COMPUTED_VALUE"""),"Коробка соединительная с тампером (датчиком вскрытия) КСП-Т ""СЕВЕР"" ПЛ.2.ПС.6-12.РМ2-9 АТФЕ.685552.110-01 ТУ")</f>
        <v>Коробка соединительная с тампером (датчиком вскрытия) КСП-Т "СЕВЕР" ПЛ.2.ПС.6-12.РМ2-9 АТФЕ.685552.110-01 ТУ</v>
      </c>
      <c r="B1265" s="13" t="str">
        <f ca="1">IFERROR(__xludf.DUMMYFUNCTION("""COMPUTED_VALUE"""),"Коробка соединительная с пластиковыми кабельными вводами для подведения проводников диаметром от 6 до 12 мм и с защитой от вскрытия в виде герконового датчика - Тампером. IP66")</f>
        <v>Коробка соединительная с пластиковыми кабельными вводами для подведения проводников диаметром от 6 до 12 мм и с защитой от вскрытия в виде герконового датчика - Тампером. IP66</v>
      </c>
      <c r="C1265" s="14">
        <f ca="1">IFERROR(__xludf.DUMMYFUNCTION("""COMPUTED_VALUE"""),1602.6087)</f>
        <v>1602.6087</v>
      </c>
      <c r="D1265" s="13"/>
    </row>
    <row r="1266" spans="1:4" ht="38.25">
      <c r="A1266" s="12" t="str">
        <f ca="1">IFERROR(__xludf.DUMMYFUNCTION("""COMPUTED_VALUE"""),"Коробка соединительная с тампером (датчиком вскрытия) КСП-Т ""СЕВЕР"" ПЛ.4.ПС.6-12.РМ2-9 АТФЕ.685552.110-01 ТУ")</f>
        <v>Коробка соединительная с тампером (датчиком вскрытия) КСП-Т "СЕВЕР" ПЛ.4.ПС.6-12.РМ2-9 АТФЕ.685552.110-01 ТУ</v>
      </c>
      <c r="B1266" s="13" t="str">
        <f ca="1">IFERROR(__xludf.DUMMYFUNCTION("""COMPUTED_VALUE"""),"Коробка соединительная с тампером (датчиком вскрытия) КСП-Т ""СЕВЕР"" ПЛ.4.ПС.6-12.РМ2-9 ПАШК.685552.110 ПС")</f>
        <v>Коробка соединительная с тампером (датчиком вскрытия) КСП-Т "СЕВЕР" ПЛ.4.ПС.6-12.РМ2-9 ПАШК.685552.110 ПС</v>
      </c>
      <c r="C1266" s="14">
        <f ca="1">IFERROR(__xludf.DUMMYFUNCTION("""COMPUTED_VALUE"""),1703.0992)</f>
        <v>1703.0992000000001</v>
      </c>
      <c r="D1266" s="13"/>
    </row>
    <row r="1267" spans="1:4" ht="38.25">
      <c r="A1267" s="12" t="str">
        <f ca="1">IFERROR(__xludf.DUMMYFUNCTION("""COMPUTED_VALUE"""),"Коробка соединительная с тампером (датчиком вскрытия) КСП-Т ""СЕВЕР"" ПЛ.6.ПС.6-12.РМ2-9 АТФЕ.685552.110-01 ТУ")</f>
        <v>Коробка соединительная с тампером (датчиком вскрытия) КСП-Т "СЕВЕР" ПЛ.6.ПС.6-12.РМ2-9 АТФЕ.685552.110-01 ТУ</v>
      </c>
      <c r="B1267" s="13" t="str">
        <f ca="1">IFERROR(__xludf.DUMMYFUNCTION("""COMPUTED_VALUE"""),"Коробка соединительная с тампером (датчиком вскрытия) КСП-Т ""СЕВЕР"" ПЛ.6.ПС.6-12.РМ2-9 ПАШК.685552.110 ПС")</f>
        <v>Коробка соединительная с тампером (датчиком вскрытия) КСП-Т "СЕВЕР" ПЛ.6.ПС.6-12.РМ2-9 ПАШК.685552.110 ПС</v>
      </c>
      <c r="C1267" s="14">
        <f ca="1">IFERROR(__xludf.DUMMYFUNCTION("""COMPUTED_VALUE"""),1803.6018)</f>
        <v>1803.6017999999999</v>
      </c>
      <c r="D1267" s="13"/>
    </row>
    <row r="1268" spans="1:4" ht="51">
      <c r="A1268" s="12" t="str">
        <f ca="1">IFERROR(__xludf.DUMMYFUNCTION("""COMPUTED_VALUE"""),"Коробка соединительная с тампером (датчиком вскрытия) КСП-Т ""СЕВЕР"" ПЛ.2.МТ.6-12.РМ2-9 АТФЕ.685552.110-01 ТУ")</f>
        <v>Коробка соединительная с тампером (датчиком вскрытия) КСП-Т "СЕВЕР" ПЛ.2.МТ.6-12.РМ2-9 АТФЕ.685552.110-01 ТУ</v>
      </c>
      <c r="B1268" s="13" t="str">
        <f ca="1">IFERROR(__xludf.DUMMYFUNCTION("""COMPUTED_VALUE"""),"Коробка соединительная с металлическими кабельными вводами и с защитой от вскрытия в виде герконового датчика - Тампером. IP66")</f>
        <v>Коробка соединительная с металлическими кабельными вводами и с защитой от вскрытия в виде герконового датчика - Тампером. IP66</v>
      </c>
      <c r="C1268" s="14">
        <f ca="1">IFERROR(__xludf.DUMMYFUNCTION("""COMPUTED_VALUE"""),1794.8414)</f>
        <v>1794.8414</v>
      </c>
      <c r="D1268" s="13"/>
    </row>
    <row r="1269" spans="1:4" ht="38.25">
      <c r="A1269" s="12" t="str">
        <f ca="1">IFERROR(__xludf.DUMMYFUNCTION("""COMPUTED_VALUE"""),"Коробка соединительная с тампером (датчиком вскрытия) КСП-Т ""СЕВЕР"" ПЛ.4.МТ.6-12.РМ2-9 АТФЕ.685552.110-01 ТУ")</f>
        <v>Коробка соединительная с тампером (датчиком вскрытия) КСП-Т "СЕВЕР" ПЛ.4.МТ.6-12.РМ2-9 АТФЕ.685552.110-01 ТУ</v>
      </c>
      <c r="B1269" s="13" t="str">
        <f ca="1">IFERROR(__xludf.DUMMYFUNCTION("""COMPUTED_VALUE"""),"Коробка соединительная с тампером (датчиком вскрытия) КСП-Т ""СЕВЕР"" ПЛ.4.МТ.6-12.РМ2-9 ПАШК.685552.110 ПС")</f>
        <v>Коробка соединительная с тампером (датчиком вскрытия) КСП-Т "СЕВЕР" ПЛ.4.МТ.6-12.РМ2-9 ПАШК.685552.110 ПС</v>
      </c>
      <c r="C1269" s="14">
        <f ca="1">IFERROR(__xludf.DUMMYFUNCTION("""COMPUTED_VALUE"""),2177.9879)</f>
        <v>2177.9879000000001</v>
      </c>
      <c r="D1269" s="13"/>
    </row>
    <row r="1270" spans="1:4" ht="38.25">
      <c r="A1270" s="12" t="str">
        <f ca="1">IFERROR(__xludf.DUMMYFUNCTION("""COMPUTED_VALUE"""),"Коробка соединительная с тампером (датчиком вскрытия) КСП-Т ""СЕВЕР"" ПЛ.6.МТ.6-12.РМ2-9 АТФЕ.685552.110-01 ТУ")</f>
        <v>Коробка соединительная с тампером (датчиком вскрытия) КСП-Т "СЕВЕР" ПЛ.6.МТ.6-12.РМ2-9 АТФЕ.685552.110-01 ТУ</v>
      </c>
      <c r="B1270" s="13" t="str">
        <f ca="1">IFERROR(__xludf.DUMMYFUNCTION("""COMPUTED_VALUE"""),"Коробка соединительная с тампером (датчиком вскрытия) КСП-Т ""СЕВЕР"" ПЛ.6.МТ.6-12.РМ2-9 ПАШК.685552.110 ПС")</f>
        <v>Коробка соединительная с тампером (датчиком вскрытия) КСП-Т "СЕВЕР" ПЛ.6.МТ.6-12.РМ2-9 ПАШК.685552.110 ПС</v>
      </c>
      <c r="C1270" s="14">
        <f ca="1">IFERROR(__xludf.DUMMYFUNCTION("""COMPUTED_VALUE"""),2448.8222)</f>
        <v>2448.8222000000001</v>
      </c>
      <c r="D1270" s="13"/>
    </row>
    <row r="1271" spans="1:4" ht="38.25">
      <c r="A1271" s="12" t="str">
        <f ca="1">IFERROR(__xludf.DUMMYFUNCTION("""COMPUTED_VALUE"""),"Коробка соединительная КСП-Т ""СЕВЕР с тампером,  24 контакта,  IP66 (замена JB-730)
ПАШК.685552.110 ПС")</f>
        <v>Коробка соединительная КСП-Т "СЕВЕР с тампером,  24 контакта,  IP66 (замена JB-730)
ПАШК.685552.110 ПС</v>
      </c>
      <c r="B1271" s="13" t="str">
        <f ca="1">IFERROR(__xludf.DUMMYFUNCTION("""COMPUTED_VALUE"""),"Коробка соединительная с тампером (датчиком вскрытия) и клеммником на 24 пары контактов")</f>
        <v>Коробка соединительная с тампером (датчиком вскрытия) и клеммником на 24 пары контактов</v>
      </c>
      <c r="C1271" s="14">
        <f ca="1">IFERROR(__xludf.DUMMYFUNCTION("""COMPUTED_VALUE"""),946)</f>
        <v>946</v>
      </c>
      <c r="D1271" s="13"/>
    </row>
    <row r="1272" spans="1:4" ht="102">
      <c r="A1272" s="12" t="str">
        <f ca="1">IFERROR(__xludf.DUMMYFUNCTION("""COMPUTED_VALUE"""),"КВСК Север ПЛ.8.ПС.6-12, 20 WAGO, IP66/IP67 ПАШК.685552.002")</f>
        <v>КВСК Север ПЛ.8.ПС.6-12, 20 WAGO, IP66/IP67 ПАШК.685552.002</v>
      </c>
      <c r="B1272" s="13" t="str">
        <f ca="1">IFERROR(__xludf.DUMMYFUNCTION("""COMPUTED_VALUE"""),"Влагозащищенная (IP66/IP67) клеммная коробка , 20 шт рычажных проходных клемм (4мм кв), 8 кабельных вводов под кабель диаметром 6-12 мм., датчик вскрытия корпуса (тампер). По согласованию с заказчиком количество характеристики клемм и вводов могут быть из"&amp;"менены.")</f>
        <v>Влагозащищенная (IP66/IP67) клеммная коробка , 20 шт рычажных проходных клемм (4мм кв), 8 кабельных вводов под кабель диаметром 6-12 мм., датчик вскрытия корпуса (тампер). По согласованию с заказчиком количество характеристики клемм и вводов могут быть изменены.</v>
      </c>
      <c r="C1272" s="14">
        <f ca="1">IFERROR(__xludf.DUMMYFUNCTION("""COMPUTED_VALUE"""),4970)</f>
        <v>4970</v>
      </c>
      <c r="D1272" s="13"/>
    </row>
    <row r="1273" spans="1:4" ht="89.25">
      <c r="A1273" s="12" t="str">
        <f ca="1">IFERROR(__xludf.DUMMYFUNCTION("""COMPUTED_VALUE"""),"КВСК Север ПЛ.8.ПС.6-12, 25 WAGO, IP66/IP67 ПАШК.685552.002")</f>
        <v>КВСК Север ПЛ.8.ПС.6-12, 25 WAGO, IP66/IP67 ПАШК.685552.002</v>
      </c>
      <c r="B1273" s="13" t="str">
        <f ca="1">IFERROR(__xludf.DUMMYFUNCTION("""COMPUTED_VALUE"""),"Влагозащищенная (IP66/IP67) клеммная коробка IP66/IP67, 25 шт рычажных проходных клемм (4мм кв), 8 кабельных вводов под кабель диаметром 6-12 мм. По согласованию с заказчиком количество характеристики клемм и вводов могут быть изменены")</f>
        <v>Влагозащищенная (IP66/IP67) клеммная коробка IP66/IP67, 25 шт рычажных проходных клемм (4мм кв), 8 кабельных вводов под кабель диаметром 6-12 мм. По согласованию с заказчиком количество характеристики клемм и вводов могут быть изменены</v>
      </c>
      <c r="C1273" s="14">
        <f ca="1">IFERROR(__xludf.DUMMYFUNCTION("""COMPUTED_VALUE"""),5470)</f>
        <v>5470</v>
      </c>
      <c r="D1273" s="13"/>
    </row>
    <row r="1274" spans="1:4" ht="102">
      <c r="A1274" s="12" t="str">
        <f ca="1">IFERROR(__xludf.DUMMYFUNCTION("""COMPUTED_VALUE"""),"КВСК Север"" ПЛ.6.ПС.6-12, 20 WAGO, IP66/IP67 с шиной заземления ПАШК.685552.002")</f>
        <v>КВСК Север" ПЛ.6.ПС.6-12, 20 WAGO, IP66/IP67 с шиной заземления ПАШК.685552.002</v>
      </c>
      <c r="B1274" s="13" t="str">
        <f ca="1">IFERROR(__xludf.DUMMYFUNCTION("""COMPUTED_VALUE"""),"Влагозащищенная (IP66/IP67) клеммная коробка IP66/IP67, 20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б"&amp;"ыть изменены")</f>
        <v>Влагозащищенная (IP66/IP67) клеммная коробка IP66/IP67, 20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быть изменены</v>
      </c>
      <c r="C1274" s="14">
        <f ca="1">IFERROR(__xludf.DUMMYFUNCTION("""COMPUTED_VALUE"""),5700)</f>
        <v>5700</v>
      </c>
      <c r="D1274" s="13"/>
    </row>
    <row r="1275" spans="1:4" ht="102">
      <c r="A1275" s="12" t="str">
        <f ca="1">IFERROR(__xludf.DUMMYFUNCTION("""COMPUTED_VALUE"""),"КВСК Север"" ПЛ.6.ПС.6-12, 25 WAGO, IP66/IP67 с шиной заземления ПАШК.685552.002")</f>
        <v>КВСК Север" ПЛ.6.ПС.6-12, 25 WAGO, IP66/IP67 с шиной заземления ПАШК.685552.002</v>
      </c>
      <c r="B1275" s="13" t="str">
        <f ca="1">IFERROR(__xludf.DUMMYFUNCTION("""COMPUTED_VALUE"""),"Влагозащищенная (IP66/IP67) клеммная коробка, 25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быть измене"&amp;"ны")</f>
        <v>Влагозащищенная (IP66/IP67) клеммная коробка, 25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быть изменены</v>
      </c>
      <c r="C1275" s="14">
        <f ca="1">IFERROR(__xludf.DUMMYFUNCTION("""COMPUTED_VALUE"""),5900)</f>
        <v>5900</v>
      </c>
      <c r="D1275" s="13"/>
    </row>
    <row r="1276" spans="1:4" ht="102">
      <c r="A1276" s="12" t="str">
        <f ca="1">IFERROR(__xludf.DUMMYFUNCTION("""COMPUTED_VALUE"""),"КВСК Север"" ПЛ.8.ПС.6-12.Т31, 8 отверстий с герметичными кабельными вводами, IP66/IP67 ПАШК.685552.002")</f>
        <v>КВСК Север" ПЛ.8.ПС.6-12.Т31, 8 отверстий с герметичными кабельными вводами, IP66/IP67 ПАШК.685552.002</v>
      </c>
      <c r="B1276" s="13" t="str">
        <f ca="1">IFERROR(__xludf.DUMMYFUNCTION("""COMPUTED_VALUE"""),"Предназначена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f>
        <v>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v>
      </c>
      <c r="C1276" s="14">
        <f ca="1">IFERROR(__xludf.DUMMYFUNCTION("""COMPUTED_VALUE"""),3844.7266)</f>
        <v>3844.7266</v>
      </c>
      <c r="D1276" s="13"/>
    </row>
    <row r="1277" spans="1:4" ht="102">
      <c r="A1277" s="12" t="str">
        <f ca="1">IFERROR(__xludf.DUMMYFUNCTION("""COMPUTED_VALUE"""),"КВСК Север"" ПЛ.8.ПС.6-12.PM2, 8 отверстий с герметичными кабельными вводами, IP66/IP67 ПАШК.685552.002")</f>
        <v>КВСК Север" ПЛ.8.ПС.6-12.PM2, 8 отверстий с герметичными кабельными вводами, IP66/IP67 ПАШК.685552.002</v>
      </c>
      <c r="B1277" s="13" t="str">
        <f ca="1">IFERROR(__xludf.DUMMYFUNCTION("""COMPUTED_VALUE"""),"Предназначена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f>
        <v>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v>
      </c>
      <c r="C1277" s="14">
        <f ca="1">IFERROR(__xludf.DUMMYFUNCTION("""COMPUTED_VALUE"""),3844.7266)</f>
        <v>3844.7266</v>
      </c>
      <c r="D1277" s="13"/>
    </row>
    <row r="1278" spans="1:4" ht="25.5">
      <c r="A1278" s="12" t="str">
        <f ca="1">IFERROR(__xludf.DUMMYFUNCTION("""COMPUTED_VALUE"""),"КВСК Север"" АВС.8.ПС.6-12.Т31, 8 отверстий с герметичными кабельными вводами, IP66/IP67 ПАШК.685552.002")</f>
        <v>КВСК Север" АВС.8.ПС.6-12.Т31, 8 отверстий с герметичными кабельными вводами, IP66/IP67 ПАШК.685552.002</v>
      </c>
      <c r="B1278" s="13" t="str">
        <f ca="1">IFERROR(__xludf.DUMMYFUNCTION("""COMPUTED_VALUE"""),"материал корпуса - АВС")</f>
        <v>материал корпуса - АВС</v>
      </c>
      <c r="C1278" s="14">
        <f ca="1">IFERROR(__xludf.DUMMYFUNCTION("""COMPUTED_VALUE"""),4143.5482)</f>
        <v>4143.5482000000002</v>
      </c>
      <c r="D1278" s="13"/>
    </row>
    <row r="1279" spans="1:4" ht="25.5">
      <c r="A1279" s="12" t="str">
        <f ca="1">IFERROR(__xludf.DUMMYFUNCTION("""COMPUTED_VALUE"""),"КВСК Север"" АВС.8.ПС.6-12.РМ2, 8 отверстий с герметичными кабельными вводами, IP66/IP67 ПАШК.685552.002")</f>
        <v>КВСК Север" АВС.8.ПС.6-12.РМ2, 8 отверстий с герметичными кабельными вводами, IP66/IP67 ПАШК.685552.002</v>
      </c>
      <c r="B1279" s="13" t="str">
        <f ca="1">IFERROR(__xludf.DUMMYFUNCTION("""COMPUTED_VALUE"""),"материал корпуса - АВС")</f>
        <v>материал корпуса - АВС</v>
      </c>
      <c r="C1279" s="14">
        <f ca="1">IFERROR(__xludf.DUMMYFUNCTION("""COMPUTED_VALUE"""),4143.5482)</f>
        <v>4143.5482000000002</v>
      </c>
      <c r="D1279" s="13"/>
    </row>
    <row r="1280" spans="1:4" ht="25.5">
      <c r="A1280" s="12" t="str">
        <f ca="1">IFERROR(__xludf.DUMMYFUNCTION("""COMPUTED_VALUE"""),"КВСК Север"" АВС.8.ПС.11-17.Т31, 8 отверстий с герметичными кабельными вводами, IP66/IP67 ПАШК.685552.002")</f>
        <v>КВСК Север" АВС.8.ПС.11-17.Т31, 8 отверстий с герметичными кабельными вводами, IP66/IP67 ПАШК.685552.002</v>
      </c>
      <c r="B1280" s="13" t="str">
        <f ca="1">IFERROR(__xludf.DUMMYFUNCTION("""COMPUTED_VALUE"""),"материал корпуса - АВС")</f>
        <v>материал корпуса - АВС</v>
      </c>
      <c r="C1280" s="14">
        <f ca="1">IFERROR(__xludf.DUMMYFUNCTION("""COMPUTED_VALUE"""),6058.3006)</f>
        <v>6058.3005999999996</v>
      </c>
      <c r="D1280" s="13"/>
    </row>
    <row r="1281" spans="1:4" ht="25.5">
      <c r="A1281" s="12" t="str">
        <f ca="1">IFERROR(__xludf.DUMMYFUNCTION("""COMPUTED_VALUE"""),"КВСК Север"" АВС.8.ПС.11-17.РМ2, 8 отверстий с герметичными кабельными вводами, IP66/IP67 ПАШК.685552.002")</f>
        <v>КВСК Север" АВС.8.ПС.11-17.РМ2, 8 отверстий с герметичными кабельными вводами, IP66/IP67 ПАШК.685552.002</v>
      </c>
      <c r="B1281" s="13" t="str">
        <f ca="1">IFERROR(__xludf.DUMMYFUNCTION("""COMPUTED_VALUE"""),"материал корпуса - АВС")</f>
        <v>материал корпуса - АВС</v>
      </c>
      <c r="C1281" s="14">
        <f ca="1">IFERROR(__xludf.DUMMYFUNCTION("""COMPUTED_VALUE"""),6058.3006)</f>
        <v>6058.3005999999996</v>
      </c>
      <c r="D1281" s="13"/>
    </row>
    <row r="1282" spans="1:4" ht="25.5">
      <c r="A1282" s="12" t="str">
        <f ca="1">IFERROR(__xludf.DUMMYFUNCTION("""COMPUTED_VALUE"""),"КВСК Север"" АВС.8.ПС.13-18.Т31, 8 отверстий с герметичными кабельными вводами, IP66/IP67 ПАШК.685552.002")</f>
        <v>КВСК Север" АВС.8.ПС.13-18.Т31, 8 отверстий с герметичными кабельными вводами, IP66/IP67 ПАШК.685552.002</v>
      </c>
      <c r="B1282" s="13" t="str">
        <f ca="1">IFERROR(__xludf.DUMMYFUNCTION("""COMPUTED_VALUE"""),"материал корпуса - АВС")</f>
        <v>материал корпуса - АВС</v>
      </c>
      <c r="C1282" s="14">
        <f ca="1">IFERROR(__xludf.DUMMYFUNCTION("""COMPUTED_VALUE"""),6481.97)</f>
        <v>6481.97</v>
      </c>
      <c r="D1282" s="13"/>
    </row>
    <row r="1283" spans="1:4" ht="25.5">
      <c r="A1283" s="12" t="str">
        <f ca="1">IFERROR(__xludf.DUMMYFUNCTION("""COMPUTED_VALUE"""),"КВСК Север"" АВС.8.ПС.13-18.РМ2, 8 отверстий с герметичными кабельными вводами, IP66/IP67 ПАШК.685552.002")</f>
        <v>КВСК Север" АВС.8.ПС.13-18.РМ2, 8 отверстий с герметичными кабельными вводами, IP66/IP67 ПАШК.685552.002</v>
      </c>
      <c r="B1283" s="13" t="str">
        <f ca="1">IFERROR(__xludf.DUMMYFUNCTION("""COMPUTED_VALUE"""),"материал корпуса - АВС")</f>
        <v>материал корпуса - АВС</v>
      </c>
      <c r="C1283" s="14">
        <f ca="1">IFERROR(__xludf.DUMMYFUNCTION("""COMPUTED_VALUE"""),6481.97)</f>
        <v>6481.97</v>
      </c>
      <c r="D1283" s="13"/>
    </row>
    <row r="1284" spans="1:4" ht="38.25">
      <c r="A1284" s="12" t="str">
        <f ca="1">IFERROR(__xludf.DUMMYFUNCTION("""COMPUTED_VALUE"""),"КВСК Север"" ПЛ.4.ВМ-15.Т31 IP66/IP67 ПАШК.685552.002")</f>
        <v>КВСК Север" ПЛ.4.ВМ-15.Т31 IP66/IP67 ПАШК.685552.002</v>
      </c>
      <c r="B1284" s="13" t="str">
        <f ca="1">IFERROR(__xludf.DUMMYFUNCTION("""COMPUTED_VALUE"""),"в корпусе из полистирола с 4 муфтами ВМ15 под металлорукав с условным проходом 15, с клеммниками Т31.")</f>
        <v>в корпусе из полистирола с 4 муфтами ВМ15 под металлорукав с условным проходом 15, с клеммниками Т31.</v>
      </c>
      <c r="C1284" s="14">
        <f ca="1">IFERROR(__xludf.DUMMYFUNCTION("""COMPUTED_VALUE"""),5329.324)</f>
        <v>5329.3239999999996</v>
      </c>
      <c r="D1284" s="13"/>
    </row>
    <row r="1285" spans="1:4" ht="38.25">
      <c r="A1285" s="12" t="str">
        <f ca="1">IFERROR(__xludf.DUMMYFUNCTION("""COMPUTED_VALUE"""),"УСБ""СЕВЕР""ПЛ.2.МТ.6-12.РМ2 ")</f>
        <v xml:space="preserve">УСБ"СЕВЕР"ПЛ.2.МТ.6-12.РМ2 </v>
      </c>
      <c r="B1285" s="13" t="str">
        <f ca="1">IFERROR(__xludf.DUMMYFUNCTION("""COMPUTED_VALUE"""),"Устройство в корпусе из пластика, 2 металлических кабельных ввода (6-12), тип клеммников - РМ2")</f>
        <v>Устройство в корпусе из пластика, 2 металлических кабельных ввода (6-12), тип клеммников - РМ2</v>
      </c>
      <c r="C1285" s="14">
        <f ca="1">IFERROR(__xludf.DUMMYFUNCTION("""COMPUTED_VALUE"""),3720.145)</f>
        <v>3720.145</v>
      </c>
      <c r="D1285" s="13"/>
    </row>
    <row r="1286" spans="1:4" ht="38.25">
      <c r="A1286" s="12" t="str">
        <f ca="1">IFERROR(__xludf.DUMMYFUNCTION("""COMPUTED_VALUE"""),"УСБ""СЕВЕР""ПЛ.2.МТ.6-12.Т31")</f>
        <v>УСБ"СЕВЕР"ПЛ.2.МТ.6-12.Т31</v>
      </c>
      <c r="B1286" s="13" t="str">
        <f ca="1">IFERROR(__xludf.DUMMYFUNCTION("""COMPUTED_VALUE"""),"Устройство в корпусе из пластика, 2 металлических кабельных ввода (6-12), тип клеммников - Т31")</f>
        <v>Устройство в корпусе из пластика, 2 металлических кабельных ввода (6-12), тип клеммников - Т31</v>
      </c>
      <c r="C1286" s="14">
        <f ca="1">IFERROR(__xludf.DUMMYFUNCTION("""COMPUTED_VALUE"""),3656.994)</f>
        <v>3656.9940000000001</v>
      </c>
      <c r="D1286" s="13"/>
    </row>
    <row r="1287" spans="1:4" ht="38.25">
      <c r="A1287" s="12" t="str">
        <f ca="1">IFERROR(__xludf.DUMMYFUNCTION("""COMPUTED_VALUE"""),"УСБ""СЕВЕР""ПЛ.2.МТ.6-12.DG3 ")</f>
        <v xml:space="preserve">УСБ"СЕВЕР"ПЛ.2.МТ.6-12.DG3 </v>
      </c>
      <c r="B1287" s="13" t="str">
        <f ca="1">IFERROR(__xludf.DUMMYFUNCTION("""COMPUTED_VALUE"""),"Устройство в корпусе из пластика, 2 металлических кабельных ввода (6-12), тип клеммников - DG3")</f>
        <v>Устройство в корпусе из пластика, 2 металлических кабельных ввода (6-12), тип клеммников - DG3</v>
      </c>
      <c r="C1287" s="14">
        <f ca="1">IFERROR(__xludf.DUMMYFUNCTION("""COMPUTED_VALUE"""),3419.768)</f>
        <v>3419.768</v>
      </c>
      <c r="D1287" s="13"/>
    </row>
    <row r="1288" spans="1:4" ht="38.25">
      <c r="A1288" s="12" t="str">
        <f ca="1">IFERROR(__xludf.DUMMYFUNCTION("""COMPUTED_VALUE"""),"УСБ""СЕВЕР""ПЛ.4.МТ.6-12.РМ2 ")</f>
        <v xml:space="preserve">УСБ"СЕВЕР"ПЛ.4.МТ.6-12.РМ2 </v>
      </c>
      <c r="B1288" s="13" t="str">
        <f ca="1">IFERROR(__xludf.DUMMYFUNCTION("""COMPUTED_VALUE"""),"Устройство в корпусе из пластика, 4 металлических кабельных ввода (6-12), тип клеммников - РМ2")</f>
        <v>Устройство в корпусе из пластика, 4 металлических кабельных ввода (6-12), тип клеммников - РМ2</v>
      </c>
      <c r="C1288" s="14">
        <f ca="1">IFERROR(__xludf.DUMMYFUNCTION("""COMPUTED_VALUE"""),7544.108)</f>
        <v>7544.1080000000002</v>
      </c>
      <c r="D1288" s="13"/>
    </row>
    <row r="1289" spans="1:4" ht="38.25">
      <c r="A1289" s="12" t="str">
        <f ca="1">IFERROR(__xludf.DUMMYFUNCTION("""COMPUTED_VALUE"""),"УСБ""СЕВЕР""ПЛ.4.МТ.6-12.Т31")</f>
        <v>УСБ"СЕВЕР"ПЛ.4.МТ.6-12.Т31</v>
      </c>
      <c r="B1289" s="13" t="str">
        <f ca="1">IFERROR(__xludf.DUMMYFUNCTION("""COMPUTED_VALUE"""),"Устройство в корпусе из пластика, 4 металлических кабельных ввода (6-12), тип клеммников - T31")</f>
        <v>Устройство в корпусе из пластика, 4 металлических кабельных ввода (6-12), тип клеммников - T31</v>
      </c>
      <c r="C1289" s="14">
        <f ca="1">IFERROR(__xludf.DUMMYFUNCTION("""COMPUTED_VALUE"""),6092.031)</f>
        <v>6092.0309999999999</v>
      </c>
      <c r="D1289" s="13"/>
    </row>
    <row r="1290" spans="1:4" ht="38.25">
      <c r="A1290" s="12" t="str">
        <f ca="1">IFERROR(__xludf.DUMMYFUNCTION("""COMPUTED_VALUE"""),"УСБ""СЕВЕР""ПЛ.4.МТ.6-12.DG3 ")</f>
        <v xml:space="preserve">УСБ"СЕВЕР"ПЛ.4.МТ.6-12.DG3 </v>
      </c>
      <c r="B1290" s="13" t="str">
        <f ca="1">IFERROR(__xludf.DUMMYFUNCTION("""COMPUTED_VALUE"""),"Устройство в корпусе из пластика, 4 металлических кабельных ввода (6-12), тип клеммников - DG3")</f>
        <v>Устройство в корпусе из пластика, 4 металлических кабельных ввода (6-12), тип клеммников - DG3</v>
      </c>
      <c r="C1290" s="14">
        <f ca="1">IFERROR(__xludf.DUMMYFUNCTION("""COMPUTED_VALUE"""),5877.828)</f>
        <v>5877.8280000000004</v>
      </c>
      <c r="D1290" s="13"/>
    </row>
    <row r="1291" spans="1:4" ht="38.25">
      <c r="A1291" s="12" t="str">
        <f ca="1">IFERROR(__xludf.DUMMYFUNCTION("""COMPUTED_VALUE"""),"УСБ""СЕВЕР""ПЛ.6.МТ.6-12.РМ2 ")</f>
        <v xml:space="preserve">УСБ"СЕВЕР"ПЛ.6.МТ.6-12.РМ2 </v>
      </c>
      <c r="B1291" s="13" t="str">
        <f ca="1">IFERROR(__xludf.DUMMYFUNCTION("""COMPUTED_VALUE"""),"Устройство в корпусе из пластика, 6 металлических кабельных вводов (6-12), тип клеммников - РМ2")</f>
        <v>Устройство в корпусе из пластика, 6 металлических кабельных вводов (6-12), тип клеммников - РМ2</v>
      </c>
      <c r="C1291" s="14">
        <f ca="1">IFERROR(__xludf.DUMMYFUNCTION("""COMPUTED_VALUE"""),8616.894)</f>
        <v>8616.8940000000002</v>
      </c>
      <c r="D1291" s="13"/>
    </row>
    <row r="1292" spans="1:4" ht="38.25">
      <c r="A1292" s="12" t="str">
        <f ca="1">IFERROR(__xludf.DUMMYFUNCTION("""COMPUTED_VALUE"""),"УСБ""СЕВЕР""ПЛ.6.МТ.6-12.Т31 ")</f>
        <v xml:space="preserve">УСБ"СЕВЕР"ПЛ.6.МТ.6-12.Т31 </v>
      </c>
      <c r="B1292" s="13" t="str">
        <f ca="1">IFERROR(__xludf.DUMMYFUNCTION("""COMPUTED_VALUE"""),"Устройство в корпусе из пластика, 6 металлических кабельных вводов (6-12), тип клеммников - T31")</f>
        <v>Устройство в корпусе из пластика, 6 металлических кабельных вводов (6-12), тип клеммников - T31</v>
      </c>
      <c r="C1292" s="14">
        <f ca="1">IFERROR(__xludf.DUMMYFUNCTION("""COMPUTED_VALUE"""),8573.642)</f>
        <v>8573.6419999999998</v>
      </c>
      <c r="D1292" s="13"/>
    </row>
    <row r="1293" spans="1:4" ht="38.25">
      <c r="A1293" s="12" t="str">
        <f ca="1">IFERROR(__xludf.DUMMYFUNCTION("""COMPUTED_VALUE"""),"УСБ""СЕВЕР""ПЛ.6.МТ.6-12.DG3 ")</f>
        <v xml:space="preserve">УСБ"СЕВЕР"ПЛ.6.МТ.6-12.DG3 </v>
      </c>
      <c r="B1293" s="13" t="str">
        <f ca="1">IFERROR(__xludf.DUMMYFUNCTION("""COMPUTED_VALUE"""),"Устройство в корпусе из пластика, 6 металлических кабельных вводов (6-12), тип клеммников - DG3")</f>
        <v>Устройство в корпусе из пластика, 6 металлических кабельных вводов (6-12), тип клеммников - DG3</v>
      </c>
      <c r="C1293" s="14">
        <f ca="1">IFERROR(__xludf.DUMMYFUNCTION("""COMPUTED_VALUE"""),8305.44)</f>
        <v>8305.44</v>
      </c>
      <c r="D1293" s="13"/>
    </row>
    <row r="1294" spans="1:4" ht="38.25">
      <c r="A1294" s="12" t="str">
        <f ca="1">IFERROR(__xludf.DUMMYFUNCTION("""COMPUTED_VALUE"""),"УСБ""СЕВЕР""ПЛ.2.ПС.6-12.РМ2 ")</f>
        <v xml:space="preserve">УСБ"СЕВЕР"ПЛ.2.ПС.6-12.РМ2 </v>
      </c>
      <c r="B1294" s="13" t="str">
        <f ca="1">IFERROR(__xludf.DUMMYFUNCTION("""COMPUTED_VALUE"""),"Устройство в корпусе из пластика, 2 пластиковых кабельных ввода (6-12), тип клеммников - РМ2")</f>
        <v>Устройство в корпусе из пластика, 2 пластиковых кабельных ввода (6-12), тип клеммников - РМ2</v>
      </c>
      <c r="C1294" s="14">
        <f ca="1">IFERROR(__xludf.DUMMYFUNCTION("""COMPUTED_VALUE"""),1896.29)</f>
        <v>1896.29</v>
      </c>
      <c r="D1294" s="13"/>
    </row>
    <row r="1295" spans="1:4" ht="38.25">
      <c r="A1295" s="12" t="str">
        <f ca="1">IFERROR(__xludf.DUMMYFUNCTION("""COMPUTED_VALUE"""),"УСБ""СЕВЕР""ПЛ.2.ПС.13-18.РМ2 ")</f>
        <v xml:space="preserve">УСБ"СЕВЕР"ПЛ.2.ПС.13-18.РМ2 </v>
      </c>
      <c r="B1295" s="13" t="str">
        <f ca="1">IFERROR(__xludf.DUMMYFUNCTION("""COMPUTED_VALUE"""),"Устройство в корпусе из пластика, 2 пластиковых кабельных ввода (13-18), тип клеммников - РМ2")</f>
        <v>Устройство в корпусе из пластика, 2 пластиковых кабельных ввода (13-18), тип клеммников - РМ2</v>
      </c>
      <c r="C1295" s="14">
        <f ca="1">IFERROR(__xludf.DUMMYFUNCTION("""COMPUTED_VALUE"""),1896.2878)</f>
        <v>1896.2878000000001</v>
      </c>
      <c r="D1295" s="13"/>
    </row>
    <row r="1296" spans="1:4" ht="38.25">
      <c r="A1296" s="12" t="str">
        <f ca="1">IFERROR(__xludf.DUMMYFUNCTION("""COMPUTED_VALUE"""),"УСБ""СЕВЕР"" ПЛ.2.ПС.6-12.Т31 ")</f>
        <v xml:space="preserve">УСБ"СЕВЕР" ПЛ.2.ПС.6-12.Т31 </v>
      </c>
      <c r="B1296" s="13" t="str">
        <f ca="1">IFERROR(__xludf.DUMMYFUNCTION("""COMPUTED_VALUE"""),"Устройство в корпусе из пластика, 2 пластиковых кабельных ввода (6-12), тип клеммников - Т31")</f>
        <v>Устройство в корпусе из пластика, 2 пластиковых кабельных ввода (6-12), тип клеммников - Т31</v>
      </c>
      <c r="C1296" s="14">
        <f ca="1">IFERROR(__xludf.DUMMYFUNCTION("""COMPUTED_VALUE"""),1817.6862)</f>
        <v>1817.6862000000001</v>
      </c>
      <c r="D1296" s="13"/>
    </row>
    <row r="1297" spans="1:4" ht="38.25">
      <c r="A1297" s="12" t="str">
        <f ca="1">IFERROR(__xludf.DUMMYFUNCTION("""COMPUTED_VALUE"""),"УСБ""СЕВЕР""ПЛ.2.ПС.13-18.Т31 ")</f>
        <v xml:space="preserve">УСБ"СЕВЕР"ПЛ.2.ПС.13-18.Т31 </v>
      </c>
      <c r="B1297" s="13" t="str">
        <f ca="1">IFERROR(__xludf.DUMMYFUNCTION("""COMPUTED_VALUE"""),"Устройство в корпусе из пластика, 2 пластиковых кабельных ввода (13-18), тип клеммников - Т31")</f>
        <v>Устройство в корпусе из пластика, 2 пластиковых кабельных ввода (13-18), тип клеммников - Т31</v>
      </c>
      <c r="C1297" s="14">
        <f ca="1">IFERROR(__xludf.DUMMYFUNCTION("""COMPUTED_VALUE"""),1817.6862)</f>
        <v>1817.6862000000001</v>
      </c>
      <c r="D1297" s="13"/>
    </row>
    <row r="1298" spans="1:4" ht="38.25">
      <c r="A1298" s="12" t="str">
        <f ca="1">IFERROR(__xludf.DUMMYFUNCTION("""COMPUTED_VALUE"""),"УСБ""СЕВЕР""ПЛ.2.ПС.6-12.DG3 ")</f>
        <v xml:space="preserve">УСБ"СЕВЕР"ПЛ.2.ПС.6-12.DG3 </v>
      </c>
      <c r="B1298" s="13" t="str">
        <f ca="1">IFERROR(__xludf.DUMMYFUNCTION("""COMPUTED_VALUE"""),"Устройство в корпусе из пластика, 2 пластиковых кабельных ввода (6-12), тип клеммников - DG3")</f>
        <v>Устройство в корпусе из пластика, 2 пластиковых кабельных ввода (6-12), тип клеммников - DG3</v>
      </c>
      <c r="C1298" s="14">
        <f ca="1">IFERROR(__xludf.DUMMYFUNCTION("""COMPUTED_VALUE"""),1526.4755)</f>
        <v>1526.4755</v>
      </c>
      <c r="D1298" s="13"/>
    </row>
    <row r="1299" spans="1:4" ht="38.25">
      <c r="A1299" s="12" t="str">
        <f ca="1">IFERROR(__xludf.DUMMYFUNCTION("""COMPUTED_VALUE"""),"УСБ""СЕВЕР""ПЛ.2.ПС.13-18.DG3 ")</f>
        <v xml:space="preserve">УСБ"СЕВЕР"ПЛ.2.ПС.13-18.DG3 </v>
      </c>
      <c r="B1299" s="13" t="str">
        <f ca="1">IFERROR(__xludf.DUMMYFUNCTION("""COMPUTED_VALUE"""),"Устройство в корпусе из пластика, 2 пластиковых кабельных ввода (13-18), тип клеммников - DG3")</f>
        <v>Устройство в корпусе из пластика, 2 пластиковых кабельных ввода (13-18), тип клеммников - DG3</v>
      </c>
      <c r="C1299" s="14">
        <f ca="1">IFERROR(__xludf.DUMMYFUNCTION("""COMPUTED_VALUE"""),1526.4755)</f>
        <v>1526.4755</v>
      </c>
      <c r="D1299" s="13"/>
    </row>
    <row r="1300" spans="1:4" ht="38.25">
      <c r="A1300" s="12" t="str">
        <f ca="1">IFERROR(__xludf.DUMMYFUNCTION("""COMPUTED_VALUE"""),"УСБ""СЕВЕР""ПЛ.4.ПС.6-12.РМ2 ")</f>
        <v xml:space="preserve">УСБ"СЕВЕР"ПЛ.4.ПС.6-12.РМ2 </v>
      </c>
      <c r="B1300" s="13" t="str">
        <f ca="1">IFERROR(__xludf.DUMMYFUNCTION("""COMPUTED_VALUE"""),"Устройство в корпусе из пластика, 4 пластиковых кабельных ввода (6-12), тип клеммников - РМ2")</f>
        <v>Устройство в корпусе из пластика, 4 пластиковых кабельных ввода (6-12), тип клеммников - РМ2</v>
      </c>
      <c r="C1300" s="14">
        <f ca="1">IFERROR(__xludf.DUMMYFUNCTION("""COMPUTED_VALUE"""),1964.2414)</f>
        <v>1964.2414000000001</v>
      </c>
      <c r="D1300" s="13"/>
    </row>
    <row r="1301" spans="1:4" ht="38.25">
      <c r="A1301" s="12" t="str">
        <f ca="1">IFERROR(__xludf.DUMMYFUNCTION("""COMPUTED_VALUE"""),"УСБ""СЕВЕР""ПЛ.4.ПС.13-18.РМ2 ")</f>
        <v xml:space="preserve">УСБ"СЕВЕР"ПЛ.4.ПС.13-18.РМ2 </v>
      </c>
      <c r="B1301" s="13" t="str">
        <f ca="1">IFERROR(__xludf.DUMMYFUNCTION("""COMPUTED_VALUE"""),"Устройство в корпусе из пластика, 4 пластиковых кабельных ввода (13-18), тип клеммников - РМ3")</f>
        <v>Устройство в корпусе из пластика, 4 пластиковых кабельных ввода (13-18), тип клеммников - РМ3</v>
      </c>
      <c r="C1301" s="14">
        <f ca="1">IFERROR(__xludf.DUMMYFUNCTION("""COMPUTED_VALUE"""),1964.2414)</f>
        <v>1964.2414000000001</v>
      </c>
      <c r="D1301" s="13"/>
    </row>
    <row r="1302" spans="1:4" ht="38.25">
      <c r="A1302" s="12" t="str">
        <f ca="1">IFERROR(__xludf.DUMMYFUNCTION("""COMPUTED_VALUE"""),"УСБ""СЕВЕР""ПЛ.4.ПС.6-12.Т31 ")</f>
        <v xml:space="preserve">УСБ"СЕВЕР"ПЛ.4.ПС.6-12.Т31 </v>
      </c>
      <c r="B1302" s="13" t="str">
        <f ca="1">IFERROR(__xludf.DUMMYFUNCTION("""COMPUTED_VALUE"""),"Устройство в корпусе из пластика, 4 пластиковых кабельных ввода (6-12), тип клеммников - T31")</f>
        <v>Устройство в корпусе из пластика, 4 пластиковых кабельных ввода (6-12), тип клеммников - T31</v>
      </c>
      <c r="C1302" s="14">
        <f ca="1">IFERROR(__xludf.DUMMYFUNCTION("""COMPUTED_VALUE"""),1697.7752)</f>
        <v>1697.7752</v>
      </c>
      <c r="D1302" s="13"/>
    </row>
    <row r="1303" spans="1:4" ht="38.25">
      <c r="A1303" s="12" t="str">
        <f ca="1">IFERROR(__xludf.DUMMYFUNCTION("""COMPUTED_VALUE"""),"УСБ""СЕВЕР""ПЛ.4.ПС.13-18.Т31 ")</f>
        <v xml:space="preserve">УСБ"СЕВЕР"ПЛ.4.ПС.13-18.Т31 </v>
      </c>
      <c r="B1303" s="13" t="str">
        <f ca="1">IFERROR(__xludf.DUMMYFUNCTION("""COMPUTED_VALUE"""),"Устройство в корпусе из пластика, 4 пластиковых кабельных ввода (13-18), тип клеммников - T31")</f>
        <v>Устройство в корпусе из пластика, 4 пластиковых кабельных ввода (13-18), тип клеммников - T31</v>
      </c>
      <c r="C1303" s="14">
        <f ca="1">IFERROR(__xludf.DUMMYFUNCTION("""COMPUTED_VALUE"""),1697.7752)</f>
        <v>1697.7752</v>
      </c>
      <c r="D1303" s="13"/>
    </row>
    <row r="1304" spans="1:4" ht="38.25">
      <c r="A1304" s="12" t="str">
        <f ca="1">IFERROR(__xludf.DUMMYFUNCTION("""COMPUTED_VALUE"""),"УСБ""СЕВЕР""ПЛ.4.ПС.6-12.DG3 ")</f>
        <v xml:space="preserve">УСБ"СЕВЕР"ПЛ.4.ПС.6-12.DG3 </v>
      </c>
      <c r="B1304" s="13" t="str">
        <f ca="1">IFERROR(__xludf.DUMMYFUNCTION("""COMPUTED_VALUE"""),"Устройство в корпусе из пластика, 4 пластиковых кабельных ввода (6-12), тип клеммников - DG3")</f>
        <v>Устройство в корпусе из пластика, 4 пластиковых кабельных ввода (6-12), тип клеммников - DG3</v>
      </c>
      <c r="C1304" s="14">
        <f ca="1">IFERROR(__xludf.DUMMYFUNCTION("""COMPUTED_VALUE"""),1697.7752)</f>
        <v>1697.7752</v>
      </c>
      <c r="D1304" s="13"/>
    </row>
    <row r="1305" spans="1:4" ht="38.25">
      <c r="A1305" s="12" t="str">
        <f ca="1">IFERROR(__xludf.DUMMYFUNCTION("""COMPUTED_VALUE"""),"УСБ""СЕВЕР""ПЛ.4.ПС.13-18.DG3 ")</f>
        <v xml:space="preserve">УСБ"СЕВЕР"ПЛ.4.ПС.13-18.DG3 </v>
      </c>
      <c r="B1305" s="13" t="str">
        <f ca="1">IFERROR(__xludf.DUMMYFUNCTION("""COMPUTED_VALUE"""),"Устройство в корпусе из пластика, 4 пластиковых кабельных ввода (13-18), тип клеммников - DG3")</f>
        <v>Устройство в корпусе из пластика, 4 пластиковых кабельных ввода (13-18), тип клеммников - DG3</v>
      </c>
      <c r="C1305" s="14">
        <f ca="1">IFERROR(__xludf.DUMMYFUNCTION("""COMPUTED_VALUE"""),1697.7752)</f>
        <v>1697.7752</v>
      </c>
      <c r="D1305" s="13"/>
    </row>
    <row r="1306" spans="1:4" ht="38.25">
      <c r="A1306" s="12" t="str">
        <f ca="1">IFERROR(__xludf.DUMMYFUNCTION("""COMPUTED_VALUE"""),"УСБ""СЕВЕР""ПЛ.6.ПС.6-12.РМ2 ")</f>
        <v xml:space="preserve">УСБ"СЕВЕР"ПЛ.6.ПС.6-12.РМ2 </v>
      </c>
      <c r="B1306" s="13" t="str">
        <f ca="1">IFERROR(__xludf.DUMMYFUNCTION("""COMPUTED_VALUE"""),"Устройство в корпусе из пластика, 6 пластиковых кабельных вводов (6-12), тип клеммников - РМ2")</f>
        <v>Устройство в корпусе из пластика, 6 пластиковых кабельных вводов (6-12), тип клеммников - РМ2</v>
      </c>
      <c r="C1306" s="14">
        <f ca="1">IFERROR(__xludf.DUMMYFUNCTION("""COMPUTED_VALUE"""),2068.9185)</f>
        <v>2068.9185000000002</v>
      </c>
      <c r="D1306" s="13"/>
    </row>
    <row r="1307" spans="1:4" ht="38.25">
      <c r="A1307" s="12" t="str">
        <f ca="1">IFERROR(__xludf.DUMMYFUNCTION("""COMPUTED_VALUE"""),"УСБ""СЕВЕР""ПЛ.6.ПС.13-18.РМ2 ")</f>
        <v xml:space="preserve">УСБ"СЕВЕР"ПЛ.6.ПС.13-18.РМ2 </v>
      </c>
      <c r="B1307" s="13" t="str">
        <f ca="1">IFERROR(__xludf.DUMMYFUNCTION("""COMPUTED_VALUE"""),"Устройство в корпусе из пластика, 6 пластиковых кабельных вводов (13-18), тип клеммников - РМ2")</f>
        <v>Устройство в корпусе из пластика, 6 пластиковых кабельных вводов (13-18), тип клеммников - РМ2</v>
      </c>
      <c r="C1307" s="14">
        <f ca="1">IFERROR(__xludf.DUMMYFUNCTION("""COMPUTED_VALUE"""),2068.9185)</f>
        <v>2068.9185000000002</v>
      </c>
      <c r="D1307" s="13"/>
    </row>
    <row r="1308" spans="1:4" ht="38.25">
      <c r="A1308" s="12" t="str">
        <f ca="1">IFERROR(__xludf.DUMMYFUNCTION("""COMPUTED_VALUE"""),"УСБ""СЕВЕР""ПЛ.6.ПС.6-12.Т31 ")</f>
        <v xml:space="preserve">УСБ"СЕВЕР"ПЛ.6.ПС.6-12.Т31 </v>
      </c>
      <c r="B1308" s="13" t="str">
        <f ca="1">IFERROR(__xludf.DUMMYFUNCTION("""COMPUTED_VALUE"""),"Устройство в корпусе из пластика, 6 пластиковых кабельных вводов (6-12), тип клеммников - T31")</f>
        <v>Устройство в корпусе из пластика, 6 пластиковых кабельных вводов (6-12), тип клеммников - T31</v>
      </c>
      <c r="C1308" s="14">
        <f ca="1">IFERROR(__xludf.DUMMYFUNCTION("""COMPUTED_VALUE"""),2002.308)</f>
        <v>2002.308</v>
      </c>
      <c r="D1308" s="13"/>
    </row>
    <row r="1309" spans="1:4" ht="38.25">
      <c r="A1309" s="12" t="str">
        <f ca="1">IFERROR(__xludf.DUMMYFUNCTION("""COMPUTED_VALUE"""),"УСБ""СЕВЕР""ПЛ.6.ПС.13-18.Т31 ")</f>
        <v xml:space="preserve">УСБ"СЕВЕР"ПЛ.6.ПС.13-18.Т31 </v>
      </c>
      <c r="B1309" s="13" t="str">
        <f ca="1">IFERROR(__xludf.DUMMYFUNCTION("""COMPUTED_VALUE"""),"Устройство в корпусе из пластика, 6 пластиковых кабельных вводов (13-18), тип клеммников - T31")</f>
        <v>Устройство в корпусе из пластика, 6 пластиковых кабельных вводов (13-18), тип клеммников - T31</v>
      </c>
      <c r="C1309" s="14">
        <f ca="1">IFERROR(__xludf.DUMMYFUNCTION("""COMPUTED_VALUE"""),2002.308)</f>
        <v>2002.308</v>
      </c>
      <c r="D1309" s="13"/>
    </row>
    <row r="1310" spans="1:4" ht="38.25">
      <c r="A1310" s="12" t="str">
        <f ca="1">IFERROR(__xludf.DUMMYFUNCTION("""COMPUTED_VALUE"""),"УСБ""СЕВЕР""ПЛ.6.ПС.6-12.DG3 ")</f>
        <v xml:space="preserve">УСБ"СЕВЕР"ПЛ.6.ПС.6-12.DG3 </v>
      </c>
      <c r="B1310" s="13" t="str">
        <f ca="1">IFERROR(__xludf.DUMMYFUNCTION("""COMPUTED_VALUE"""),"Устройство в корпусе из пластика, 6 пластиковых кабельных вводов (6-12), тип клеммников - DG3")</f>
        <v>Устройство в корпусе из пластика, 6 пластиковых кабельных вводов (6-12), тип клеммников - DG3</v>
      </c>
      <c r="C1310" s="14">
        <f ca="1">IFERROR(__xludf.DUMMYFUNCTION("""COMPUTED_VALUE"""),1712.997)</f>
        <v>1712.9970000000001</v>
      </c>
      <c r="D1310" s="13"/>
    </row>
    <row r="1311" spans="1:4" ht="38.25">
      <c r="A1311" s="12" t="str">
        <f ca="1">IFERROR(__xludf.DUMMYFUNCTION("""COMPUTED_VALUE"""),"УСБ""СЕВЕР""ПЛ.6.ПС.13-18.DG3 ")</f>
        <v xml:space="preserve">УСБ"СЕВЕР"ПЛ.6.ПС.13-18.DG3 </v>
      </c>
      <c r="B1311" s="13" t="str">
        <f ca="1">IFERROR(__xludf.DUMMYFUNCTION("""COMPUTED_VALUE"""),"Устройство в корпусе из пластика, 6 пластиковых кабельных вводов (13-18), тип клеммников - DG3")</f>
        <v>Устройство в корпусе из пластика, 6 пластиковых кабельных вводов (13-18), тип клеммников - DG3</v>
      </c>
      <c r="C1311" s="14">
        <f ca="1">IFERROR(__xludf.DUMMYFUNCTION("""COMPUTED_VALUE"""),1712.997)</f>
        <v>1712.9970000000001</v>
      </c>
      <c r="D1311" s="13"/>
    </row>
    <row r="1312" spans="1:4" ht="38.25">
      <c r="A1312" s="12" t="str">
        <f ca="1">IFERROR(__xludf.DUMMYFUNCTION("""COMPUTED_VALUE"""),"УСБ ""Север"" коробка соединительная глухая IP66 ")</f>
        <v xml:space="preserve">УСБ "Север" коробка соединительная глухая IP66 </v>
      </c>
      <c r="B1312" s="13" t="str">
        <f ca="1">IFERROR(__xludf.DUMMYFUNCTION("""COMPUTED_VALUE"""),"Глухая коробка без отверстий, герметизация по периметру - силикон, 120х103х67 (без клеммников и платы)")</f>
        <v>Глухая коробка без отверстий, герметизация по периметру - силикон, 120х103х67 (без клеммников и платы)</v>
      </c>
      <c r="C1312" s="14">
        <f ca="1">IFERROR(__xludf.DUMMYFUNCTION("""COMPUTED_VALUE"""),1110.0298)</f>
        <v>1110.0298</v>
      </c>
      <c r="D1312" s="13"/>
    </row>
    <row r="1313" spans="1:4" ht="38.25">
      <c r="A1313" s="12" t="str">
        <f ca="1">IFERROR(__xludf.DUMMYFUNCTION("""COMPUTED_VALUE"""),"УСБ ""Север"" коробка соединительная глухая IP66 ")</f>
        <v xml:space="preserve">УСБ "Север" коробка соединительная глухая IP66 </v>
      </c>
      <c r="B1313" s="13" t="str">
        <f ca="1">IFERROR(__xludf.DUMMYFUNCTION("""COMPUTED_VALUE"""),"Глухая коробки без отверстий, герметизация по периметру - силикон, 120х103х50 (без клеммников и платы)")</f>
        <v>Глухая коробки без отверстий, герметизация по периметру - силикон, 120х103х50 (без клеммников и платы)</v>
      </c>
      <c r="C1313" s="14">
        <f ca="1">IFERROR(__xludf.DUMMYFUNCTION("""COMPUTED_VALUE"""),1084.8981)</f>
        <v>1084.8981000000001</v>
      </c>
      <c r="D1313" s="13"/>
    </row>
    <row r="1314" spans="1:4" ht="51">
      <c r="A1314" s="12" t="str">
        <f ca="1">IFERROR(__xludf.DUMMYFUNCTION("""COMPUTED_VALUE"""),"УСБ ""Север"" коробка соединительная глухая IP66, две  DIN-рейки ")</f>
        <v xml:space="preserve">УСБ "Север" коробка соединительная глухая IP66, две  DIN-рейки </v>
      </c>
      <c r="B1314" s="13" t="str">
        <f ca="1">IFERROR(__xludf.DUMMYFUNCTION("""COMPUTED_VALUE"""),"Глухая коробки без отверстий, герметизация по периметру - силикон, 120х103х50 (без клеммников и платы), две  DIN-рейки")</f>
        <v>Глухая коробки без отверстий, герметизация по периметру - силикон, 120х103х50 (без клеммников и платы), две  DIN-рейки</v>
      </c>
      <c r="C1314" s="14">
        <f ca="1">IFERROR(__xludf.DUMMYFUNCTION("""COMPUTED_VALUE"""),1197.9)</f>
        <v>1197.9000000000001</v>
      </c>
      <c r="D1314" s="13"/>
    </row>
    <row r="1315" spans="1:4" ht="25.5">
      <c r="A1315" s="12" t="str">
        <f ca="1">IFERROR(__xludf.DUMMYFUNCTION("""COMPUTED_VALUE"""),"УСБ ""Север"" коробка с 2 кабельными вводами IP66 ")</f>
        <v xml:space="preserve">УСБ "Север" коробка с 2 кабельными вводами IP66 </v>
      </c>
      <c r="B1315" s="13" t="str">
        <f ca="1">IFERROR(__xludf.DUMMYFUNCTION("""COMPUTED_VALUE"""),"коробка с 2 кабельными вводами (без клеммников и платы)")</f>
        <v>коробка с 2 кабельными вводами (без клеммников и платы)</v>
      </c>
      <c r="C1315" s="14">
        <f ca="1">IFERROR(__xludf.DUMMYFUNCTION("""COMPUTED_VALUE"""),1189.5873)</f>
        <v>1189.5872999999999</v>
      </c>
      <c r="D1315" s="13"/>
    </row>
    <row r="1316" spans="1:4" ht="63.75">
      <c r="A1316" s="12" t="str">
        <f ca="1">IFERROR(__xludf.DUMMYFUNCTION("""COMPUTED_VALUE"""),"УСБ ""Север"" коробка с 2 кабельными вводами IP66, с клеммниками REXANT ")</f>
        <v xml:space="preserve">УСБ "Север" коробка с 2 кабельными вводами IP66, с клеммниками REXANT </v>
      </c>
      <c r="B1316" s="13" t="str">
        <f ca="1">IFERROR(__xludf.DUMMYFUNCTION("""COMPUTED_VALUE"""),"коробка с 2 кабельными вводами ПКВ20х1,5 (под кабель от 6 до 14 мм ), 120х103х50 (без клеммников и платы), до 14 проходных клемм с рычажком (под жилу 0,08-4 мм2)")</f>
        <v>коробка с 2 кабельными вводами ПКВ20х1,5 (под кабель от 6 до 14 мм ), 120х103х50 (без клеммников и платы), до 14 проходных клемм с рычажком (под жилу 0,08-4 мм2)</v>
      </c>
      <c r="C1316" s="14">
        <f ca="1">IFERROR(__xludf.DUMMYFUNCTION("""COMPUTED_VALUE"""),2371.6)</f>
        <v>2371.6</v>
      </c>
      <c r="D1316" s="13"/>
    </row>
    <row r="1317" spans="1:4" ht="25.5">
      <c r="A1317" s="12" t="str">
        <f ca="1">IFERROR(__xludf.DUMMYFUNCTION("""COMPUTED_VALUE"""),"УСБ ""Север"" коробка с 4 кабельными вводамим IP66 ")</f>
        <v xml:space="preserve">УСБ "Север" коробка с 4 кабельными вводамим IP66 </v>
      </c>
      <c r="B1317" s="13" t="str">
        <f ca="1">IFERROR(__xludf.DUMMYFUNCTION("""COMPUTED_VALUE"""),"коробка с 4 кабельными вводами (без клеммников и платы)")</f>
        <v>коробка с 4 кабельными вводами (без клеммников и платы)</v>
      </c>
      <c r="C1317" s="14">
        <f ca="1">IFERROR(__xludf.DUMMYFUNCTION("""COMPUTED_VALUE"""),1261.909)</f>
        <v>1261.9090000000001</v>
      </c>
      <c r="D1317" s="13"/>
    </row>
    <row r="1318" spans="1:4" ht="25.5">
      <c r="A1318" s="12" t="str">
        <f ca="1">IFERROR(__xludf.DUMMYFUNCTION("""COMPUTED_VALUE"""),"УСБ ""Север"" коробка с 6 кабельными вводами IP66")</f>
        <v>УСБ "Север" коробка с 6 кабельными вводами IP66</v>
      </c>
      <c r="B1318" s="13" t="str">
        <f ca="1">IFERROR(__xludf.DUMMYFUNCTION("""COMPUTED_VALUE"""),"коробка с 6 кабельными вводами (без клеммников и платы)")</f>
        <v>коробка с 6 кабельными вводами (без клеммников и платы)</v>
      </c>
      <c r="C1318" s="14">
        <f ca="1">IFERROR(__xludf.DUMMYFUNCTION("""COMPUTED_VALUE"""),1336.1425)</f>
        <v>1336.1424999999999</v>
      </c>
      <c r="D1318" s="13"/>
    </row>
    <row r="1319" spans="1:4" ht="38.25">
      <c r="A1319" s="12" t="str">
        <f ca="1">IFERROR(__xludf.DUMMYFUNCTION("""COMPUTED_VALUE"""),"КВСК ""Север"" IP66/IP67 ПАШК.685552.002 ТУ")</f>
        <v>КВСК "Север" IP66/IP67 ПАШК.685552.002 ТУ</v>
      </c>
      <c r="B1319" s="13" t="str">
        <f ca="1">IFERROR(__xludf.DUMMYFUNCTION("""COMPUTED_VALUE"""),"Глухая коробка без отверстий, герметизация по периметру - силикон. (без клеммников и платы)")</f>
        <v>Глухая коробка без отверстий, герметизация по периметру - силикон. (без клеммников и платы)</v>
      </c>
      <c r="C1319" s="14">
        <f ca="1">IFERROR(__xludf.DUMMYFUNCTION("""COMPUTED_VALUE"""),2625.7)</f>
        <v>2625.7</v>
      </c>
      <c r="D1319" s="13"/>
    </row>
    <row r="1320" spans="1:4" ht="76.5">
      <c r="A1320" s="12" t="str">
        <f ca="1">IFERROR(__xludf.DUMMYFUNCTION("""COMPUTED_VALUE"""),"КВСК ""Север"" IP66/IP67 8 отверстий с герметичными кабельными вводами, IP55, с DIN-рейкой  ")</f>
        <v xml:space="preserve">КВСК "Север" IP66/IP67 8 отверстий с герметичными кабельными вводами, IP55, с DIN-рейкой  </v>
      </c>
      <c r="B1320" s="13" t="str">
        <f ca="1">IFERROR(__xludf.DUMMYFUNCTION("""COMPUTED_VALUE"""),"Глухая коробка без отверстий, герметизация по периметру - силикон. (без клеммников и платы) Корпус из пластика, 302х164х93мм, 8 кабельных вводов ПКВ20х1,5 (под кабель от 6 до 14 мм ), DIN-рейка")</f>
        <v>Глухая коробка без отверстий, герметизация по периметру - силикон. (без клеммников и платы) Корпус из пластика, 302х164х93мм, 8 кабельных вводов ПКВ20х1,5 (под кабель от 6 до 14 мм ), DIN-рейка</v>
      </c>
      <c r="C1320" s="14">
        <f ca="1">IFERROR(__xludf.DUMMYFUNCTION("""COMPUTED_VALUE"""),3267)</f>
        <v>3267</v>
      </c>
      <c r="D1320" s="13"/>
    </row>
    <row r="1321" spans="1:4" ht="63.75">
      <c r="A1321" s="12" t="str">
        <f ca="1">IFERROR(__xludf.DUMMYFUNCTION("""COMPUTED_VALUE"""),"КВСК «Север» REXANT, 8 отверстий с герметичными кабельными вводами, IP66/IP67 ")</f>
        <v xml:space="preserve">КВСК «Север» REXANT, 8 отверстий с герметичными кабельными вводами, IP66/IP67 </v>
      </c>
      <c r="B1321" s="13" t="str">
        <f ca="1">IFERROR(__xludf.DUMMYFUNCTION("""COMPUTED_VALUE"""),"Корпус из пластика, 302х164х93мм, 8 кабельных вводов ПКВ20х1,5 (под кабель от 6 до 14 мм ), DIN-рейка, до 26 проходных клеммы с рычажком (под жилу 0,08-4 мм2)")</f>
        <v>Корпус из пластика, 302х164х93мм, 8 кабельных вводов ПКВ20х1,5 (под кабель от 6 до 14 мм ), DIN-рейка, до 26 проходных клеммы с рычажком (под жилу 0,08-4 мм2)</v>
      </c>
      <c r="C1321" s="14">
        <f ca="1">IFERROR(__xludf.DUMMYFUNCTION("""COMPUTED_VALUE"""),5469.2)</f>
        <v>5469.2</v>
      </c>
      <c r="D1321" s="13"/>
    </row>
    <row r="1322" spans="1:4" ht="38.25">
      <c r="A1322" s="12" t="str">
        <f ca="1">IFERROR(__xludf.DUMMYFUNCTION("""COMPUTED_VALUE"""),"УС-4 Коробка соединительная глухая IP65 ")</f>
        <v xml:space="preserve">УС-4 Коробка соединительная глухая IP65 </v>
      </c>
      <c r="B1322" s="13" t="str">
        <f ca="1">IFERROR(__xludf.DUMMYFUNCTION("""COMPUTED_VALUE"""),"Глухая коробка без отверстий, герметизация по периметру - силикон, 60х60х30 (без клеммников и платы)")</f>
        <v>Глухая коробка без отверстий, герметизация по периметру - силикон, 60х60х30 (без клеммников и платы)</v>
      </c>
      <c r="C1322" s="14">
        <f ca="1">IFERROR(__xludf.DUMMYFUNCTION("""COMPUTED_VALUE"""),143.8932)</f>
        <v>143.89320000000001</v>
      </c>
      <c r="D1322" s="13"/>
    </row>
    <row r="1323" spans="1:4" ht="153">
      <c r="A1323" s="12" t="str">
        <f ca="1">IFERROR(__xludf.DUMMYFUNCTION("""COMPUTED_VALUE"""),"Тампер вскрытия АЯКС")</f>
        <v>Тампер вскрытия АЯКС</v>
      </c>
      <c r="B1323" s="13" t="str">
        <f ca="1">IFERROR(__xludf.DUMMYFUNCTION("""COMPUTED_VALUE"""),"предназначен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нажатии) с присоединенными выводами 30 см* (* по требованию "&amp;"Потребителя возможно изготовление тампера с выводами другой длины и нормально-замкнутыми (NC) контактами, или (NO/NC) контактами)")</f>
        <v>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нажатии) с присоединенными выводами 30 см* (* по требованию Потребителя возможно изготовление тампера с выводами другой длины и нормально-замкнутыми (NC) контактами, или (NO/NC) контактами)</v>
      </c>
      <c r="C1323" s="14">
        <f ca="1">IFERROR(__xludf.DUMMYFUNCTION("""COMPUTED_VALUE"""),290.4)</f>
        <v>290.39999999999998</v>
      </c>
      <c r="D1323" s="13"/>
    </row>
    <row r="1324" spans="1:4" ht="165.75">
      <c r="A1324" s="12" t="str">
        <f ca="1">IFERROR(__xludf.DUMMYFUNCTION("""COMPUTED_VALUE"""),"Тампер вскрытия МОРОЗ")</f>
        <v>Тампер вскрытия МОРОЗ</v>
      </c>
      <c r="B1324" s="13" t="str">
        <f ca="1">IFERROR(__xludf.DUMMYFUNCTION("""COMPUTED_VALUE"""),"Предназначен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воздействии магнита) с присоединенными выводами 17 см* (* по"&amp;" требованию Потребителя возможно изготовление тампера с выводами другой длины и нормально-замкнутыми (NC) контактами, или (NO/NC) контактами) , температура эксплуатации от -60 до +65°С, IP66")</f>
        <v>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воздействии магнита) с присоединенными выводами 17 см* (* по требованию Потребителя возможно изготовление тампера с выводами другой длины и нормально-замкнутыми (NC) контактами, или (NO/NC) контактами) , температура эксплуатации от -60 до +65°С, IP66</v>
      </c>
      <c r="C1324" s="14">
        <f ca="1">IFERROR(__xludf.DUMMYFUNCTION("""COMPUTED_VALUE"""),390)</f>
        <v>390</v>
      </c>
      <c r="D1324" s="13"/>
    </row>
    <row r="1325" spans="1:4" ht="12.75">
      <c r="A1325" s="12" t="str">
        <f ca="1">IFERROR(__xludf.DUMMYFUNCTION("""COMPUTED_VALUE"""),"Корпус 009")</f>
        <v>Корпус 009</v>
      </c>
      <c r="B1325" s="13" t="str">
        <f ca="1">IFERROR(__xludf.DUMMYFUNCTION("""COMPUTED_VALUE"""),"Корпус для радиоаппаратуры")</f>
        <v>Корпус для радиоаппаратуры</v>
      </c>
      <c r="C1325" s="14">
        <f ca="1">IFERROR(__xludf.DUMMYFUNCTION("""COMPUTED_VALUE"""),2283.996)</f>
        <v>2283.9960000000001</v>
      </c>
      <c r="D1325" s="13"/>
    </row>
    <row r="1326" spans="1:4" ht="25.5">
      <c r="A1326" s="12" t="str">
        <f ca="1">IFERROR(__xludf.DUMMYFUNCTION("""COMPUTED_VALUE"""),"«Окно-4М» ПАШК.425114.032")</f>
        <v>«Окно-4М» ПАШК.425114.032</v>
      </c>
      <c r="B1326" s="13" t="str">
        <f ca="1">IFERROR(__xludf.DUMMYFUNCTION("""COMPUTED_VALUE"""),"Ударноконтакт., остеклен. Поверхности 20 кв.м ,до 5лист, 5ДРС")</f>
        <v>Ударноконтакт., остеклен. Поверхности 20 кв.м ,до 5лист, 5ДРС</v>
      </c>
      <c r="C1326" s="14">
        <f ca="1">IFERROR(__xludf.DUMMYFUNCTION("""COMPUTED_VALUE"""),2555.652)</f>
        <v>2555.652</v>
      </c>
      <c r="D1326" s="13"/>
    </row>
    <row r="1327" spans="1:4" ht="25.5">
      <c r="A1327" s="12" t="str">
        <f ca="1">IFERROR(__xludf.DUMMYFUNCTION("""COMPUTED_VALUE"""),"«Окно-5» ДВ2.403.057")</f>
        <v>«Окно-5» ДВ2.403.057</v>
      </c>
      <c r="B1327" s="13" t="str">
        <f ca="1">IFERROR(__xludf.DUMMYFUNCTION("""COMPUTED_VALUE"""),"Ударноконтакт., остеклен. Поверхн. 20 кв.м, до 5 листов, 5ДРС")</f>
        <v>Ударноконтакт., остеклен. Поверхн. 20 кв.м, до 5 листов, 5ДРС</v>
      </c>
      <c r="C1327" s="14">
        <f ca="1">IFERROR(__xludf.DUMMYFUNCTION("""COMPUTED_VALUE"""),3491.4)</f>
        <v>3491.4</v>
      </c>
      <c r="D1327" s="13"/>
    </row>
    <row r="1328" spans="1:4" ht="25.5">
      <c r="A1328" s="12" t="str">
        <f ca="1">IFERROR(__xludf.DUMMYFUNCTION("""COMPUTED_VALUE"""),"«Окно-6» ПАШК.425114.001")</f>
        <v>«Окно-6» ПАШК.425114.001</v>
      </c>
      <c r="B1328" s="13" t="str">
        <f ca="1">IFERROR(__xludf.DUMMYFUNCTION("""COMPUTED_VALUE"""),"Ударноконтакт., остеклен. Поверхн. 60 кв.м, релейн. Выход 15ДРС")</f>
        <v>Ударноконтакт., остеклен. Поверхн. 60 кв.м, релейн. Выход 15ДРС</v>
      </c>
      <c r="C1328" s="14">
        <f ca="1">IFERROR(__xludf.DUMMYFUNCTION("""COMPUTED_VALUE"""),7440.29)</f>
        <v>7440.29</v>
      </c>
      <c r="D1328" s="13"/>
    </row>
    <row r="1329" spans="1:4" ht="12.75">
      <c r="A1329" s="12" t="str">
        <f ca="1">IFERROR(__xludf.DUMMYFUNCTION("""COMPUTED_VALUE"""),"ДИМК ПАШК.425119.016")</f>
        <v>ДИМК ПАШК.425119.016</v>
      </c>
      <c r="B1329" s="13" t="str">
        <f ca="1">IFERROR(__xludf.DUMMYFUNCTION("""COMPUTED_VALUE"""),"Датчик ударноконтактный")</f>
        <v>Датчик ударноконтактный</v>
      </c>
      <c r="C1329" s="14">
        <f ca="1">IFERROR(__xludf.DUMMYFUNCTION("""COMPUTED_VALUE"""),301)</f>
        <v>301</v>
      </c>
      <c r="D1329" s="13"/>
    </row>
    <row r="1330" spans="1:4" ht="63.75">
      <c r="A1330" s="12" t="str">
        <f ca="1">IFERROR(__xludf.DUMMYFUNCTION("""COMPUTED_VALUE"""),"ИО 315-3/1 «Орбита-1» ПАШК.425138.001")</f>
        <v>ИО 315-3/1 «Орбита-1» ПАШК.425138.001</v>
      </c>
      <c r="B1330" s="13" t="str">
        <f ca="1">IFERROR(__xludf.DUMMYFUNCTION("""COMPUTED_VALUE"""),"Извещатель охранный совмещённый, выход на ПЦН, комплект : 15ДРС и 15 датчиков ИО 102-16/2, питание и передача сигнала «Тревога» по телефонной линии.")</f>
        <v>Извещатель охранный совмещённый, выход на ПЦН, комплект : 15ДРС и 15 датчиков ИО 102-16/2, питание и передача сигнала «Тревога» по телефонной линии.</v>
      </c>
      <c r="C1330" s="14">
        <f ca="1">IFERROR(__xludf.DUMMYFUNCTION("""COMPUTED_VALUE"""),9689.68)</f>
        <v>9689.68</v>
      </c>
      <c r="D1330" s="13"/>
    </row>
    <row r="1331" spans="1:4" ht="38.25">
      <c r="A1331" s="12" t="str">
        <f ca="1">IFERROR(__xludf.DUMMYFUNCTION("""COMPUTED_VALUE"""),"ИО 315-3/2 «Орбита-1М» ПАШК.425138.002")</f>
        <v>ИО 315-3/2 «Орбита-1М» ПАШК.425138.002</v>
      </c>
      <c r="B1331" s="13" t="str">
        <f ca="1">IFERROR(__xludf.DUMMYFUNCTION("""COMPUTED_VALUE"""),"Извещатель охранный совмещённый, релейный выход, комплект: 15ДРС и 15 датчиков ИО 102-16/2, питание 12В.")</f>
        <v>Извещатель охранный совмещённый, релейный выход, комплект: 15ДРС и 15 датчиков ИО 102-16/2, питание 12В.</v>
      </c>
      <c r="C1331" s="14">
        <f ca="1">IFERROR(__xludf.DUMMYFUNCTION("""COMPUTED_VALUE"""),9170.59)</f>
        <v>9170.59</v>
      </c>
      <c r="D1331" s="13"/>
    </row>
    <row r="1332" spans="1:4" ht="12.75">
      <c r="A1332" s="12" t="str">
        <f ca="1">IFERROR(__xludf.DUMMYFUNCTION("""COMPUTED_VALUE"""),"«Орбита-1» БОС ПАШК.425138.001")</f>
        <v>«Орбита-1» БОС ПАШК.425138.001</v>
      </c>
      <c r="B1332" s="13" t="str">
        <f ca="1">IFERROR(__xludf.DUMMYFUNCTION("""COMPUTED_VALUE"""),"Без комплекта датчиков.")</f>
        <v>Без комплекта датчиков.</v>
      </c>
      <c r="C1332" s="14">
        <f ca="1">IFERROR(__xludf.DUMMYFUNCTION("""COMPUTED_VALUE"""),3844.731)</f>
        <v>3844.7310000000002</v>
      </c>
      <c r="D1332" s="13"/>
    </row>
    <row r="1333" spans="1:4" ht="12.75">
      <c r="A1333" s="12" t="str">
        <f ca="1">IFERROR(__xludf.DUMMYFUNCTION("""COMPUTED_VALUE"""),"«Орбита-1М» БОС ПАШК.425138.002")</f>
        <v>«Орбита-1М» БОС ПАШК.425138.002</v>
      </c>
      <c r="B1333" s="13" t="str">
        <f ca="1">IFERROR(__xludf.DUMMYFUNCTION("""COMPUTED_VALUE"""),"Без комплекта датчиков.")</f>
        <v>Без комплекта датчиков.</v>
      </c>
      <c r="C1333" s="14">
        <f ca="1">IFERROR(__xludf.DUMMYFUNCTION("""COMPUTED_VALUE"""),3106.235)</f>
        <v>3106.2350000000001</v>
      </c>
      <c r="D1333" s="13"/>
    </row>
    <row r="1334" spans="1:4" ht="114.75">
      <c r="A1334" s="12" t="str">
        <f ca="1">IFERROR(__xludf.DUMMYFUNCTION("""COMPUTED_VALUE"""),"УК-ВК-Ех-12 АЯКС АТФЕ.425412.224ТУ")</f>
        <v>УК-ВК-Ех-12 АЯКС АТФЕ.425412.224ТУ</v>
      </c>
      <c r="B1334" s="13" t="str">
        <f ca="1">IFERROR(__xludf.DUMMYFUNCTION("""COMPUTED_VALUE"""),"Взрывозащищенное устройство управления и коммутации, два реле, контакты на переключение. U-упр.12 В, I-упр.55 мА, U-коммут.до 250В, I-коммут.до 8 А; t-раб.-50...+60°С, Ø117 х 85 мм, 1,3 кг , IP66/IP68, 1EX DB IIC T6 DB Х / EX TB IIIC T85°C DB Х. До 3 кабе"&amp;"льных ввода или Ех-заглушек (приобретаются отдельно).")</f>
        <v>Взрывозащищенное устройство управления и коммутации, два реле, контакты на переключение. U-упр.12 В, I-упр.55 мА, U-коммут.до 250В, I-коммут.до 8 А; t-раб.-50...+60°С, Ø117 х 85 мм, 1,3 кг , IP66/IP68, 1EX DB IIC T6 DB Х / EX TB IIIC T85°C DB Х. До 3 кабельных ввода или Ех-заглушек (приобретаются отдельно).</v>
      </c>
      <c r="C1334" s="14">
        <f ca="1">IFERROR(__xludf.DUMMYFUNCTION("""COMPUTED_VALUE"""),12800)</f>
        <v>12800</v>
      </c>
      <c r="D1334" s="13"/>
    </row>
    <row r="1335" spans="1:4" ht="114.75">
      <c r="A1335" s="12" t="str">
        <f ca="1">IFERROR(__xludf.DUMMYFUNCTION("""COMPUTED_VALUE"""),"УК-ВК-Ех-24 АЯКС  АТФЕ.425412.224ТУ")</f>
        <v>УК-ВК-Ех-24 АЯКС  АТФЕ.425412.224ТУ</v>
      </c>
      <c r="B1335" s="13" t="str">
        <f ca="1">IFERROR(__xludf.DUMMYFUNCTION("""COMPUTED_VALUE"""),"Взрывозащищенное устройство управления и коммутации, два реле, контакты на переключение. U-упр.24 В, I-упр.55 мА, U-коммут.до 250В, I-коммут.до 8 А; t-раб.-50...+60°С, Ø117 х 85 мм, 1,3 кг , IP66/IP68 , 1EX DB IIC T6 DB Х / EX TB IIIC T85°C DB Х. До 3 каб"&amp;"ельных ввода или Ех заглушек (приобретаются отдельно).")</f>
        <v>Взрывозащищенное устройство управления и коммутации, два реле, контакты на переключение. U-упр.24 В, I-упр.55 мА, U-коммут.до 250В, I-коммут.до 8 А; t-раб.-50...+60°С, Ø117 х 85 мм, 1,3 кг , IP66/IP68 , 1EX DB IIC T6 DB Х / EX TB IIIC T85°C DB Х. До 3 кабельных ввода или Ех заглушек (приобретаются отдельно).</v>
      </c>
      <c r="C1335" s="14">
        <f ca="1">IFERROR(__xludf.DUMMYFUNCTION("""COMPUTED_VALUE"""),12800)</f>
        <v>12800</v>
      </c>
      <c r="D1335" s="13"/>
    </row>
    <row r="1336" spans="1:4" ht="63.75">
      <c r="A1336" s="12" t="str">
        <f ca="1">IFERROR(__xludf.DUMMYFUNCTION("""COMPUTED_VALUE"""),"УК-ВК-Ех-12 АЯКС П, с двумя кабельными вводами Ех МКВМ 16 (тип штуцера К, КМ, В или Т - уточняется при заказе)")</f>
        <v>УК-ВК-Ех-12 АЯКС П, с двумя кабельными вводами Ех МКВМ 16 (тип штуцера К, КМ, В или Т - уточняется при заказе)</v>
      </c>
      <c r="B1336" s="13" t="str">
        <f ca="1">IFERROR(__xludf.DUMMYFUNCTION("""COMPUTED_VALUE"""),"Проходное исполнение УК-ВК-Ех-12 укомплектованное двумя кабельными вводами Ех МКВМ16 из нержавеющей стали (резьба М16х1,5, тип штуцера - выбрать), IP66/IP68")</f>
        <v>Проходное исполнение УК-ВК-Ех-12 укомплектованное двумя кабельными вводами Ех МКВМ16 из нержавеющей стали (резьба М16х1,5, тип штуцера - выбрать), IP66/IP68</v>
      </c>
      <c r="C1336" s="14">
        <f ca="1">IFERROR(__xludf.DUMMYFUNCTION("""COMPUTED_VALUE"""),20260)</f>
        <v>20260</v>
      </c>
      <c r="D1336" s="13"/>
    </row>
    <row r="1337" spans="1:4" ht="63.75">
      <c r="A1337" s="12" t="str">
        <f ca="1">IFERROR(__xludf.DUMMYFUNCTION("""COMPUTED_VALUE"""),"УК-ВК-Ех-24 АЯКС П, с двумя кабельными вводами Ех МКВМ 16 (тип штуцера К, КМ, В или Т - уточняется при заказе)")</f>
        <v>УК-ВК-Ех-24 АЯКС П, с двумя кабельными вводами Ех МКВМ 16 (тип штуцера К, КМ, В или Т - уточняется при заказе)</v>
      </c>
      <c r="B1337" s="13" t="str">
        <f ca="1">IFERROR(__xludf.DUMMYFUNCTION("""COMPUTED_VALUE"""),"Проходное исполнение УК-ВК-Ех-24 укомплектованное двумя кабельными вводами Ех МКВМ16 из нержавеющей стали (резьба М16х1,5, тип штуцера - выбрать), IP66/IP68")</f>
        <v>Проходное исполнение УК-ВК-Ех-24 укомплектованное двумя кабельными вводами Ех МКВМ16 из нержавеющей стали (резьба М16х1,5, тип штуцера - выбрать), IP66/IP68</v>
      </c>
      <c r="C1337" s="14">
        <f ca="1">IFERROR(__xludf.DUMMYFUNCTION("""COMPUTED_VALUE"""),20260)</f>
        <v>20260</v>
      </c>
      <c r="D1337" s="13"/>
    </row>
    <row r="1338" spans="1:4" ht="76.5">
      <c r="A1338" s="12" t="str">
        <f ca="1">IFERROR(__xludf.DUMMYFUNCTION("""COMPUTED_VALUE"""),"УК-ВК-Ех-12 АЯКС П, с двумя кабельными вводами ВН20")</f>
        <v>УК-ВК-Ех-12 АЯКС П, с двумя кабельными вводами ВН20</v>
      </c>
      <c r="B1338" s="13" t="str">
        <f ca="1">IFERROR(__xludf.DUMMYFUNCTION("""COMPUTED_VALUE"""),"Проходное исполнение УК-ВК-Ех-12 укомплектованное двумя кабельными вводами ВН20 из никелированной латуни (резьба М20х1,5, штуцер под открытую прокладку кабеля 6-12 мм), IP66/IP68")</f>
        <v>Проходное исполнение УК-ВК-Ех-12 укомплектованное двумя кабельными вводами ВН20 из никелированной латуни (резьба М20х1,5, штуцер под открытую прокладку кабеля 6-12 мм), IP66/IP68</v>
      </c>
      <c r="C1338" s="14">
        <f ca="1">IFERROR(__xludf.DUMMYFUNCTION("""COMPUTED_VALUE"""),14300)</f>
        <v>14300</v>
      </c>
      <c r="D1338" s="13"/>
    </row>
    <row r="1339" spans="1:4" ht="76.5">
      <c r="A1339" s="12" t="str">
        <f ca="1">IFERROR(__xludf.DUMMYFUNCTION("""COMPUTED_VALUE"""),"УК-ВК-Ех-24 АЯКС П, с двумя кабельными вводами ВН20")</f>
        <v>УК-ВК-Ех-24 АЯКС П, с двумя кабельными вводами ВН20</v>
      </c>
      <c r="B1339" s="13" t="str">
        <f ca="1">IFERROR(__xludf.DUMMYFUNCTION("""COMPUTED_VALUE"""),"Проходное исполнение УК-ВК-Ех-24 укомплектованное двумя кабельными вводами ВН20 из никелированной латуни (резьба М20х1,5, штуцер под открытую прокладку кабеля 6-12 мм), IP66/IP68")</f>
        <v>Проходное исполнение УК-ВК-Ех-24 укомплектованное двумя кабельными вводами ВН20 из никелированной латуни (резьба М20х1,5, штуцер под открытую прокладку кабеля 6-12 мм), IP66/IP68</v>
      </c>
      <c r="C1339" s="14">
        <f ca="1">IFERROR(__xludf.DUMMYFUNCTION("""COMPUTED_VALUE"""),14300)</f>
        <v>14300</v>
      </c>
      <c r="D1339" s="13"/>
    </row>
    <row r="1340" spans="1:4" ht="63.75">
      <c r="A1340" s="12" t="str">
        <f ca="1">IFERROR(__xludf.DUMMYFUNCTION("""COMPUTED_VALUE"""),"УК-ВК-Ех-12 АЯКС П, с двумя кабельными вводами Ех МКВМ 20 (тип штуцера К, КМ, В или Т - уточняется при заказе)")</f>
        <v>УК-ВК-Ех-12 АЯКС П, с двумя кабельными вводами Ех МКВМ 20 (тип штуцера К, КМ, В или Т - уточняется при заказе)</v>
      </c>
      <c r="B1340" s="13" t="str">
        <f ca="1">IFERROR(__xludf.DUMMYFUNCTION("""COMPUTED_VALUE"""),"Проходное исполнение УК-ВК-Ех-12 укомплектованное двумя кабельными вводами Ех МКВМ20 из нержавеющей стали (резьба М20х1,5, тип штуцера - выбрать), IP66/IP68")</f>
        <v>Проходное исполнение УК-ВК-Ех-12 укомплектованное двумя кабельными вводами Ех МКВМ20 из нержавеющей стали (резьба М20х1,5, тип штуцера - выбрать), IP66/IP68</v>
      </c>
      <c r="C1340" s="14">
        <f ca="1">IFERROR(__xludf.DUMMYFUNCTION("""COMPUTED_VALUE"""),20660)</f>
        <v>20660</v>
      </c>
      <c r="D1340" s="13"/>
    </row>
    <row r="1341" spans="1:4" ht="63.75">
      <c r="A1341" s="12" t="str">
        <f ca="1">IFERROR(__xludf.DUMMYFUNCTION("""COMPUTED_VALUE"""),"УК-ВК-Ех-24 АЯКС П, с двумя кабельными вводами Ех МКВМ 20 (тип штуцера К, КМ, В или Т - уточняется при заказе)")</f>
        <v>УК-ВК-Ех-24 АЯКС П, с двумя кабельными вводами Ех МКВМ 20 (тип штуцера К, КМ, В или Т - уточняется при заказе)</v>
      </c>
      <c r="B1341" s="13" t="str">
        <f ca="1">IFERROR(__xludf.DUMMYFUNCTION("""COMPUTED_VALUE"""),"Проходное исполнение УК-ВК-Ех-24 укомплектованное двумя кабельными вводами Ех МКВМ20 из нержавеющей стали (резьба М20х1,5, тип штуцера - выбрать), IP66/IP68")</f>
        <v>Проходное исполнение УК-ВК-Ех-24 укомплектованное двумя кабельными вводами Ех МКВМ20 из нержавеющей стали (резьба М20х1,5, тип штуцера - выбрать), IP66/IP68</v>
      </c>
      <c r="C1341" s="14">
        <f ca="1">IFERROR(__xludf.DUMMYFUNCTION("""COMPUTED_VALUE"""),20660)</f>
        <v>20660</v>
      </c>
      <c r="D1341" s="13"/>
    </row>
    <row r="1342" spans="1:4" ht="63.75">
      <c r="A1342" s="12" t="str">
        <f ca="1">IFERROR(__xludf.DUMMYFUNCTION("""COMPUTED_VALUE"""),"УК-ВК-Ех-12 АЯКС П, с двумя кабельными вводами Ех МКВМ 25 (тип штуцера К, КМ, В или Т - уточняется при заказе)")</f>
        <v>УК-ВК-Ех-12 АЯКС П, с двумя кабельными вводами Ех МКВМ 25 (тип штуцера К, КМ, В или Т - уточняется при заказе)</v>
      </c>
      <c r="B1342" s="13" t="str">
        <f ca="1">IFERROR(__xludf.DUMMYFUNCTION("""COMPUTED_VALUE"""),"Проходное исполнение УК-ВК-Ех-12 укомплектованное двумя кабельными вводами Ех МКВМ25 из нержавеющей стали (резьба М25х1,5, тип штуцера - выбрать), IP66/IP68")</f>
        <v>Проходное исполнение УК-ВК-Ех-12 укомплектованное двумя кабельными вводами Ех МКВМ25 из нержавеющей стали (резьба М25х1,5, тип штуцера - выбрать), IP66/IP68</v>
      </c>
      <c r="C1342" s="14">
        <f ca="1">IFERROR(__xludf.DUMMYFUNCTION("""COMPUTED_VALUE"""),26960)</f>
        <v>26960</v>
      </c>
      <c r="D1342" s="13"/>
    </row>
    <row r="1343" spans="1:4" ht="63.75">
      <c r="A1343" s="12" t="str">
        <f ca="1">IFERROR(__xludf.DUMMYFUNCTION("""COMPUTED_VALUE"""),"УК-ВК-Ех-24 АЯКС П, с двумя кабельными вводами Ех МКВМ 25 (тип штуцера К, КМ, В или Т - уточняется при заказе)")</f>
        <v>УК-ВК-Ех-24 АЯКС П, с двумя кабельными вводами Ех МКВМ 25 (тип штуцера К, КМ, В или Т - уточняется при заказе)</v>
      </c>
      <c r="B1343" s="13" t="str">
        <f ca="1">IFERROR(__xludf.DUMMYFUNCTION("""COMPUTED_VALUE"""),"Проходное исполнение УК-ВК-Ех-24 укомплектованное двумя кабельными вводами Ех МКВМ25 из нержавеющей стали (резьба М25х1,5, тип штуцера - выбрать), IP66/IP68")</f>
        <v>Проходное исполнение УК-ВК-Ех-24 укомплектованное двумя кабельными вводами Ех МКВМ25 из нержавеющей стали (резьба М25х1,5, тип штуцера - выбрать), IP66/IP68</v>
      </c>
      <c r="C1343" s="14">
        <f ca="1">IFERROR(__xludf.DUMMYFUNCTION("""COMPUTED_VALUE"""),26960)</f>
        <v>26960</v>
      </c>
      <c r="D1343" s="13"/>
    </row>
    <row r="1344" spans="1:4" ht="63.75">
      <c r="A1344" s="12" t="str">
        <f ca="1">IFERROR(__xludf.DUMMYFUNCTION("""COMPUTED_VALUE"""),"УК-ВК-Ех-12 АЯКС У, с двумя кабельными вводами Ех МКВМ 20 (тип штуцера К, КМ, В или Т - уточняется при заказе)")</f>
        <v>УК-ВК-Ех-12 АЯКС У, с двумя кабельными вводами Ех МКВМ 20 (тип штуцера К, КМ, В или Т - уточняется при заказе)</v>
      </c>
      <c r="B1344" s="13" t="str">
        <f ca="1">IFERROR(__xludf.DUMMYFUNCTION("""COMPUTED_VALUE"""),"Угловое исполнение УК-ВК-Ех-12 укомплектованное двумя кабельными вводами Ех МКВМ20 из нержавеющей стали (резьба М20х1,5, тип штуцера - выбрать), IP66/IP68")</f>
        <v>Угловое исполнение УК-ВК-Ех-12 укомплектованное двумя кабельными вводами Ех МКВМ20 из нержавеющей стали (резьба М20х1,5, тип штуцера - выбрать), IP66/IP68</v>
      </c>
      <c r="C1344" s="14">
        <f ca="1">IFERROR(__xludf.DUMMYFUNCTION("""COMPUTED_VALUE"""),20660)</f>
        <v>20660</v>
      </c>
      <c r="D1344" s="13"/>
    </row>
    <row r="1345" spans="1:4" ht="63.75">
      <c r="A1345" s="12" t="str">
        <f ca="1">IFERROR(__xludf.DUMMYFUNCTION("""COMPUTED_VALUE"""),"УК-ВК-Ех-24 АЯКС У, с двумя кабельными вводами Ех МКВМ 20 (тип штуцера К, КМ, В или Т - уточняется при заказе)")</f>
        <v>УК-ВК-Ех-24 АЯКС У, с двумя кабельными вводами Ех МКВМ 20 (тип штуцера К, КМ, В или Т - уточняется при заказе)</v>
      </c>
      <c r="B1345" s="13" t="str">
        <f ca="1">IFERROR(__xludf.DUMMYFUNCTION("""COMPUTED_VALUE"""),"Угловое исполнение УК-ВК-Ех-24 укомплектованное двумя кабельными вводами Ех МКВМ20 из нержавеющей стали (резьба М20х1,5, тип штуцера - выбрать), IP66/IP68")</f>
        <v>Угловое исполнение УК-ВК-Ех-24 укомплектованное двумя кабельными вводами Ех МКВМ20 из нержавеющей стали (резьба М20х1,5, тип штуцера - выбрать), IP66/IP68</v>
      </c>
      <c r="C1345" s="14">
        <f ca="1">IFERROR(__xludf.DUMMYFUNCTION("""COMPUTED_VALUE"""),20660)</f>
        <v>20660</v>
      </c>
      <c r="D1345" s="13"/>
    </row>
    <row r="1346" spans="1:4" ht="76.5">
      <c r="A1346" s="12" t="str">
        <f ca="1">IFERROR(__xludf.DUMMYFUNCTION("""COMPUTED_VALUE"""),"УК-ВК-Ех-12 АЯКС Т, с тремя кабельными вводами ВН25")</f>
        <v>УК-ВК-Ех-12 АЯКС Т, с тремя кабельными вводами ВН25</v>
      </c>
      <c r="B1346" s="13" t="str">
        <f ca="1">IFERROR(__xludf.DUMMYFUNCTION("""COMPUTED_VALUE"""),"Тройниковое исполнение УК-ВК-Ех-12 укомплектованное тремя кабельнми вводами ВН25 из никелированной латуни (резьба М25х1,5, штуцер под открытую прокладку кабеля 12-18 мм), IP66/IP68")</f>
        <v>Тройниковое исполнение УК-ВК-Ех-12 укомплектованное тремя кабельнми вводами ВН25 из никелированной латуни (резьба М25х1,5, штуцер под открытую прокладку кабеля 12-18 мм), IP66/IP68</v>
      </c>
      <c r="C1346" s="14">
        <f ca="1">IFERROR(__xludf.DUMMYFUNCTION("""COMPUTED_VALUE"""),16300)</f>
        <v>16300</v>
      </c>
      <c r="D1346" s="13"/>
    </row>
    <row r="1347" spans="1:4" ht="76.5">
      <c r="A1347" s="12" t="str">
        <f ca="1">IFERROR(__xludf.DUMMYFUNCTION("""COMPUTED_VALUE"""),"УК-ВК-Ех-24 АЯКС Т, с тремя кабельными вводами ВН25")</f>
        <v>УК-ВК-Ех-24 АЯКС Т, с тремя кабельными вводами ВН25</v>
      </c>
      <c r="B1347" s="13" t="str">
        <f ca="1">IFERROR(__xludf.DUMMYFUNCTION("""COMPUTED_VALUE"""),"Тройниковое исполнение УК-ВК-Ех-24 укомплектованное тремя кабельных вводами ВН25 из никелированной латуни (резьба М25х1,5, штуцер под открытую прокладку кабеля 12-18 мм), IP66/IP68")</f>
        <v>Тройниковое исполнение УК-ВК-Ех-24 укомплектованное тремя кабельных вводами ВН25 из никелированной латуни (резьба М25х1,5, штуцер под открытую прокладку кабеля 12-18 мм), IP66/IP68</v>
      </c>
      <c r="C1347" s="14">
        <f ca="1">IFERROR(__xludf.DUMMYFUNCTION("""COMPUTED_VALUE"""),16300)</f>
        <v>16300</v>
      </c>
      <c r="D1347" s="13"/>
    </row>
    <row r="1348" spans="1:4" ht="63.75">
      <c r="A1348" s="12" t="str">
        <f ca="1">IFERROR(__xludf.DUMMYFUNCTION("""COMPUTED_VALUE"""),"УК-ВК-Ех-12 АЯКС Т, с тремя кабельными вводами Ех МКВМ 20 (тип штуцера К, КМ, В или Т - уточняется при заказе)")</f>
        <v>УК-ВК-Ех-12 АЯКС Т, с тремя кабельными вводами Ех МКВМ 20 (тип штуцера К, КМ, В или Т - уточняется при заказе)</v>
      </c>
      <c r="B1348" s="13" t="str">
        <f ca="1">IFERROR(__xludf.DUMMYFUNCTION("""COMPUTED_VALUE"""),"Тройниковое исполнение УК-ВК-Ех-12 укомплектованное тремя кабельными вводами Ех МКВМ20 из нержавеющей стали (резьба М20х1,5, тип штуцера - выбрать), IP66/IP68")</f>
        <v>Тройниковое исполнение УК-ВК-Ех-12 укомплектованное тремя кабельными вводами Ех МКВМ20 из нержавеющей стали (резьба М20х1,5, тип штуцера - выбрать), IP66/IP68</v>
      </c>
      <c r="C1348" s="14">
        <f ca="1">IFERROR(__xludf.DUMMYFUNCTION("""COMPUTED_VALUE"""),24600)</f>
        <v>24600</v>
      </c>
      <c r="D1348" s="13"/>
    </row>
    <row r="1349" spans="1:4" ht="63.75">
      <c r="A1349" s="12" t="str">
        <f ca="1">IFERROR(__xludf.DUMMYFUNCTION("""COMPUTED_VALUE"""),"УК-ВК-Ех-24 АЯКС Т, с тремя кабельными вводами Ех МКВМ 20 (тип штуцера К, КМ, В или Т - уточняется при заказе)")</f>
        <v>УК-ВК-Ех-24 АЯКС Т, с тремя кабельными вводами Ех МКВМ 20 (тип штуцера К, КМ, В или Т - уточняется при заказе)</v>
      </c>
      <c r="B1349" s="13" t="str">
        <f ca="1">IFERROR(__xludf.DUMMYFUNCTION("""COMPUTED_VALUE"""),"Тройниковое исполнение УК-ВК-Ех-24 укомплектованное тремя кабельными вводами Ех МКВМ20 из нержавеющей стали (резьба М20х1,5, тип штуцера - выбрать), IP66/IP68")</f>
        <v>Тройниковое исполнение УК-ВК-Ех-24 укомплектованное тремя кабельными вводами Ех МКВМ20 из нержавеющей стали (резьба М20х1,5, тип штуцера - выбрать), IP66/IP68</v>
      </c>
      <c r="C1349" s="14">
        <f ca="1">IFERROR(__xludf.DUMMYFUNCTION("""COMPUTED_VALUE"""),24600)</f>
        <v>24600</v>
      </c>
      <c r="D1349" s="13"/>
    </row>
    <row r="1350" spans="1:4" ht="38.25">
      <c r="A1350" s="12" t="str">
        <f ca="1">IFERROR(__xludf.DUMMYFUNCTION("""COMPUTED_VALUE"""),"УУК-12-01 (УК-ВК/01) ПАШК.425412.027")</f>
        <v>УУК-12-01 (УК-ВК/01) ПАШК.425412.027</v>
      </c>
      <c r="B1350" s="13" t="str">
        <f ca="1">IFERROR(__xludf.DUMMYFUNCTION("""COMPUTED_VALUE"""),"Устройство управления и коммутации, одно реле. Контакты на переключение. Является аналогом УК-ВК исп.03")</f>
        <v>Устройство управления и коммутации, одно реле. Контакты на переключение. Является аналогом УК-ВК исп.03</v>
      </c>
      <c r="C1350" s="14">
        <f ca="1">IFERROR(__xludf.DUMMYFUNCTION("""COMPUTED_VALUE"""),778.635)</f>
        <v>778.63499999999999</v>
      </c>
      <c r="D1350" s="13"/>
    </row>
    <row r="1351" spans="1:4" ht="38.25">
      <c r="A1351" s="12" t="str">
        <f ca="1">IFERROR(__xludf.DUMMYFUNCTION("""COMPUTED_VALUE"""),"УУК-24-01 (УК-ВК/05) ПАШК.425412.027")</f>
        <v>УУК-24-01 (УК-ВК/05) ПАШК.425412.027</v>
      </c>
      <c r="B1351" s="13" t="str">
        <f ca="1">IFERROR(__xludf.DUMMYFUNCTION("""COMPUTED_VALUE"""),"Устройство управления и коммутации, одно реле. Контакты на переключение. Является аналогом УК-ВК исп.05")</f>
        <v>Устройство управления и коммутации, одно реле. Контакты на переключение. Является аналогом УК-ВК исп.05</v>
      </c>
      <c r="C1351" s="14">
        <f ca="1">IFERROR(__xludf.DUMMYFUNCTION("""COMPUTED_VALUE"""),778.635)</f>
        <v>778.63499999999999</v>
      </c>
      <c r="D1351" s="13"/>
    </row>
    <row r="1352" spans="1:4" ht="38.25">
      <c r="A1352" s="12" t="str">
        <f ca="1">IFERROR(__xludf.DUMMYFUNCTION("""COMPUTED_VALUE"""),"УУК-12-02 (УК-ВК/00) ПАШК.425412.027")</f>
        <v>УУК-12-02 (УК-ВК/00) ПАШК.425412.027</v>
      </c>
      <c r="B1352" s="13" t="str">
        <f ca="1">IFERROR(__xludf.DUMMYFUNCTION("""COMPUTED_VALUE"""),"Устройство управления и коммуникации, два реле. Контакты на переключение. Является аналогом УК-ВК исп.02")</f>
        <v>Устройство управления и коммуникации, два реле. Контакты на переключение. Является аналогом УК-ВК исп.02</v>
      </c>
      <c r="C1352" s="14">
        <f ca="1">IFERROR(__xludf.DUMMYFUNCTION("""COMPUTED_VALUE"""),1186.988)</f>
        <v>1186.9880000000001</v>
      </c>
      <c r="D1352" s="13"/>
    </row>
    <row r="1353" spans="1:4" ht="38.25">
      <c r="A1353" s="12" t="str">
        <f ca="1">IFERROR(__xludf.DUMMYFUNCTION("""COMPUTED_VALUE"""),"УУК-24-02 (УК-ВК/04) ПАШК.425412.027")</f>
        <v>УУК-24-02 (УК-ВК/04) ПАШК.425412.027</v>
      </c>
      <c r="B1353" s="13" t="str">
        <f ca="1">IFERROR(__xludf.DUMMYFUNCTION("""COMPUTED_VALUE"""),"Устройство управления и коммуникации, два реле. Контакты на переключение. Является аналогом УК-ВК исп.04")</f>
        <v>Устройство управления и коммуникации, два реле. Контакты на переключение. Является аналогом УК-ВК исп.04</v>
      </c>
      <c r="C1353" s="14">
        <f ca="1">IFERROR(__xludf.DUMMYFUNCTION("""COMPUTED_VALUE"""),1186.988)</f>
        <v>1186.9880000000001</v>
      </c>
      <c r="D1353" s="13"/>
    </row>
    <row r="1354" spans="1:4" ht="63.75">
      <c r="A1354" s="12" t="str">
        <f ca="1">IFERROR(__xludf.DUMMYFUNCTION("""COMPUTED_VALUE"""),"УУК-12-08 ПАШК.425412.027ТУ")</f>
        <v>УУК-12-08 ПАШК.425412.027ТУ</v>
      </c>
      <c r="B1354" s="13" t="str">
        <f ca="1">IFERROR(__xludf.DUMMYFUNCTION("""COMPUTED_VALUE"""),"Клемник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f>
        <v>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v>
      </c>
      <c r="C1354" s="14">
        <f ca="1">IFERROR(__xludf.DUMMYFUNCTION("""COMPUTED_VALUE"""),4230.589)</f>
        <v>4230.5889999999999</v>
      </c>
      <c r="D1354" s="13"/>
    </row>
    <row r="1355" spans="1:4" ht="63.75">
      <c r="A1355" s="12" t="str">
        <f ca="1">IFERROR(__xludf.DUMMYFUNCTION("""COMPUTED_VALUE"""),"УУК-24-08 ПАШК.425412.027ТУ")</f>
        <v>УУК-24-08 ПАШК.425412.027ТУ</v>
      </c>
      <c r="B1355" s="13" t="str">
        <f ca="1">IFERROR(__xludf.DUMMYFUNCTION("""COMPUTED_VALUE"""),"Клемник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f>
        <v>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v>
      </c>
      <c r="C1355" s="14">
        <f ca="1">IFERROR(__xludf.DUMMYFUNCTION("""COMPUTED_VALUE"""),4230.589)</f>
        <v>4230.5889999999999</v>
      </c>
      <c r="D1355" s="13"/>
    </row>
    <row r="1356" spans="1:4" ht="25.5">
      <c r="A1356" s="12" t="str">
        <f ca="1">IFERROR(__xludf.DUMMYFUNCTION("""COMPUTED_VALUE"""),"УУК-12-01/1 ПАШК.425412.027ТУ")</f>
        <v>УУК-12-01/1 ПАШК.425412.027ТУ</v>
      </c>
      <c r="B1356" s="13" t="str">
        <f ca="1">IFERROR(__xludf.DUMMYFUNCTION("""COMPUTED_VALUE"""),"Клемник K14, сечение подключаемого кабеля до 2,5мм²")</f>
        <v>Клемник K14, сечение подключаемого кабеля до 2,5мм²</v>
      </c>
      <c r="C1356" s="14">
        <f ca="1">IFERROR(__xludf.DUMMYFUNCTION("""COMPUTED_VALUE"""),927.443)</f>
        <v>927.44299999999998</v>
      </c>
      <c r="D1356" s="13"/>
    </row>
    <row r="1357" spans="1:4" ht="25.5">
      <c r="A1357" s="12" t="str">
        <f ca="1">IFERROR(__xludf.DUMMYFUNCTION("""COMPUTED_VALUE"""),"УУК-24-01/1 ПАШК.425412.027ТУ")</f>
        <v>УУК-24-01/1 ПАШК.425412.027ТУ</v>
      </c>
      <c r="B1357" s="13" t="str">
        <f ca="1">IFERROR(__xludf.DUMMYFUNCTION("""COMPUTED_VALUE"""),"Клемник K14, сечение подключаемого кабеля до 2,5мм²")</f>
        <v>Клемник K14, сечение подключаемого кабеля до 2,5мм²</v>
      </c>
      <c r="C1357" s="14">
        <f ca="1">IFERROR(__xludf.DUMMYFUNCTION("""COMPUTED_VALUE"""),941.281)</f>
        <v>941.28099999999995</v>
      </c>
      <c r="D1357" s="13"/>
    </row>
    <row r="1358" spans="1:4" ht="63.75">
      <c r="A1358" s="12" t="str">
        <f ca="1">IFERROR(__xludf.DUMMYFUNCTION("""COMPUTED_VALUE"""),"УУК-12-01 уличный, IP66/67 ПАШК.425412.027")</f>
        <v>УУК-12-01 уличный, IP66/67 ПАШК.425412.027</v>
      </c>
      <c r="B1358" s="13" t="str">
        <f ca="1">IFERROR(__xludf.DUMMYFUNCTION("""COMPUTED_VALUE"""),"Устройство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v>
      </c>
      <c r="C1358" s="14">
        <f ca="1">IFERROR(__xludf.DUMMYFUNCTION("""COMPUTED_VALUE"""),3460)</f>
        <v>3460</v>
      </c>
      <c r="D1358" s="13"/>
    </row>
    <row r="1359" spans="1:4" ht="63.75">
      <c r="A1359" s="12" t="str">
        <f ca="1">IFERROR(__xludf.DUMMYFUNCTION("""COMPUTED_VALUE"""),"УУК-24-01 уличный, IP66/67 ПАШК.425412.027")</f>
        <v>УУК-24-01 уличный, IP66/67 ПАШК.425412.027</v>
      </c>
      <c r="B1359" s="13" t="str">
        <f ca="1">IFERROR(__xludf.DUMMYFUNCTION("""COMPUTED_VALUE"""),"Устройство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v>
      </c>
      <c r="C1359" s="14">
        <f ca="1">IFERROR(__xludf.DUMMYFUNCTION("""COMPUTED_VALUE"""),3460)</f>
        <v>3460</v>
      </c>
      <c r="D1359" s="13"/>
    </row>
    <row r="1360" spans="1:4" ht="63.75">
      <c r="A1360" s="12" t="str">
        <f ca="1">IFERROR(__xludf.DUMMYFUNCTION("""COMPUTED_VALUE"""),"УУК-12-02 уличный, IP66/67 ПАШК.425412.027")</f>
        <v>УУК-12-02 уличный, IP66/67 ПАШК.425412.027</v>
      </c>
      <c r="B1360" s="13" t="str">
        <f ca="1">IFERROR(__xludf.DUMMYFUNCTION("""COMPUTED_VALUE"""),"Устройство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v>
      </c>
      <c r="C1360" s="14">
        <f ca="1">IFERROR(__xludf.DUMMYFUNCTION("""COMPUTED_VALUE"""),3860)</f>
        <v>3860</v>
      </c>
      <c r="D1360" s="13"/>
    </row>
    <row r="1361" spans="1:4" ht="63.75">
      <c r="A1361" s="12" t="str">
        <f ca="1">IFERROR(__xludf.DUMMYFUNCTION("""COMPUTED_VALUE"""),"УУК-24-02 уличный, IP66/67 ПАШК.425412.027")</f>
        <v>УУК-24-02 уличный, IP66/67 ПАШК.425412.027</v>
      </c>
      <c r="B1361" s="13" t="str">
        <f ca="1">IFERROR(__xludf.DUMMYFUNCTION("""COMPUTED_VALUE"""),"Устройство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v>
      </c>
      <c r="C1361" s="14">
        <f ca="1">IFERROR(__xludf.DUMMYFUNCTION("""COMPUTED_VALUE"""),3860)</f>
        <v>3860</v>
      </c>
      <c r="D1361" s="13"/>
    </row>
    <row r="1362" spans="1:4" ht="153">
      <c r="A1362" s="12" t="str">
        <f ca="1">IFERROR(__xludf.DUMMYFUNCTION("""COMPUTED_VALUE"""),"Оповещатель световой ОС-12 исп.01, IР66 ПАШК.425543.001")</f>
        <v>Оповещатель световой ОС-12 исп.01, IР66 ПАШК.425543.001</v>
      </c>
      <c r="B1362" s="13" t="str">
        <f ca="1">IFERROR(__xludf.DUMMYFUNCTION("""COMPUTED_VALUE"""),"Оповещатель представляет собой моноблок, содержащий световое стекло. Внутри корпуса ОС-12 «АЯКС» исп.01 имеется печатная плата с радиоэлементами с двумя дублированных коммутационными клеммниками для подключения внешнего питания. Корпус оповещателя ОС-12 «"&amp;"АЯКС» исп.01 оснащен двумя гермовводами, обеспечивающими подключение кабеля диаметром от 6 до 14 мм.")</f>
        <v>Оповещатель представляет собой моноблок, содержащий световое стекло. Внутри корпуса ОС-12 «АЯКС» исп.01 имеется печатная плата с радиоэлементами с двумя дублированных коммутационными клеммниками для подключения внешнего питания. Корпус оповещателя ОС-12 «АЯКС» исп.01 оснащен двумя гермовводами, обеспечивающими подключение кабеля диаметром от 6 до 14 мм.</v>
      </c>
      <c r="C1362" s="14">
        <f ca="1">IFERROR(__xludf.DUMMYFUNCTION("""COMPUTED_VALUE"""),1325.412)</f>
        <v>1325.412</v>
      </c>
      <c r="D1362" s="13"/>
    </row>
    <row r="1363" spans="1:4" ht="51">
      <c r="A1363" s="12" t="str">
        <f ca="1">IFERROR(__xludf.DUMMYFUNCTION("""COMPUTED_VALUE"""),"Оповещатель световой ОС-12 исп.02 ПАШК.425543.001")</f>
        <v>Оповещатель световой ОС-12 исп.02 ПАШК.425543.001</v>
      </c>
      <c r="B1363" s="13" t="str">
        <f ca="1">IFERROR(__xludf.DUMMYFUNCTION("""COMPUTED_VALUE"""),"Корпус оповещателя ОС-12 «АЯКС» исп.02 оснащен выводом КСПВГ 2х0,2мм длиной 1метр, клеммники на плате отсутствуют.")</f>
        <v>Корпус оповещателя ОС-12 «АЯКС» исп.02 оснащен выводом КСПВГ 2х0,2мм длиной 1метр, клеммники на плате отсутствуют.</v>
      </c>
      <c r="C1363" s="14">
        <f ca="1">IFERROR(__xludf.DUMMYFUNCTION("""COMPUTED_VALUE"""),1238.897)</f>
        <v>1238.8969999999999</v>
      </c>
      <c r="D1363" s="13"/>
    </row>
    <row r="1364" spans="1:4" ht="51">
      <c r="A1364" s="12" t="str">
        <f ca="1">IFERROR(__xludf.DUMMYFUNCTION("""COMPUTED_VALUE"""),"Оповещатель световой взрывозащищенный ОС-12/В «АЯКС»")</f>
        <v>Оповещатель световой взрывозащищенный ОС-12/В «АЯКС»</v>
      </c>
      <c r="B1364" s="13" t="str">
        <f ca="1">IFERROR(__xludf.DUMMYFUNCTION("""COMPUTED_VALUE"""),"Маркировка взрывозащиты 1ExibIIBT4 X. Предназначен для оповещения людей о пожаре или тревоге посредством светового сигнала.")</f>
        <v>Маркировка взрывозащиты 1ExibIIBT4 X. Предназначен для оповещения людей о пожаре или тревоге посредством светового сигнала.</v>
      </c>
      <c r="C1364" s="14">
        <f ca="1">IFERROR(__xludf.DUMMYFUNCTION("""COMPUTED_VALUE"""),5960)</f>
        <v>5960</v>
      </c>
      <c r="D1364" s="13"/>
    </row>
    <row r="1365" spans="1:4" ht="25.5">
      <c r="A1365" s="12" t="str">
        <f ca="1">IFERROR(__xludf.DUMMYFUNCTION("""COMPUTED_VALUE"""),"«Искра» 12В ПАШК.425543.013")</f>
        <v>«Искра» 12В ПАШК.425543.013</v>
      </c>
      <c r="B1365" s="13" t="str">
        <f ca="1">IFERROR(__xludf.DUMMYFUNCTION("""COMPUTED_VALUE"""),"Оповещатель световой 12В охранно-пожарный")</f>
        <v>Оповещатель световой 12В охранно-пожарный</v>
      </c>
      <c r="C1365" s="14">
        <f ca="1">IFERROR(__xludf.DUMMYFUNCTION("""COMPUTED_VALUE"""),553.696)</f>
        <v>553.69600000000003</v>
      </c>
      <c r="D1365" s="13"/>
    </row>
    <row r="1366" spans="1:4" ht="25.5">
      <c r="A1366" s="12" t="str">
        <f ca="1">IFERROR(__xludf.DUMMYFUNCTION("""COMPUTED_VALUE"""),"«Искра» 24В ПАШК.425543.013")</f>
        <v>«Искра» 24В ПАШК.425543.013</v>
      </c>
      <c r="B1366" s="13" t="str">
        <f ca="1">IFERROR(__xludf.DUMMYFUNCTION("""COMPUTED_VALUE"""),"Оповещатель световой 24В охранно-пожарный")</f>
        <v>Оповещатель световой 24В охранно-пожарный</v>
      </c>
      <c r="C1366" s="14">
        <f ca="1">IFERROR(__xludf.DUMMYFUNCTION("""COMPUTED_VALUE"""),553.696)</f>
        <v>553.69600000000003</v>
      </c>
      <c r="D1366" s="13"/>
    </row>
    <row r="1367" spans="1:4" ht="25.5">
      <c r="A1367" s="12" t="str">
        <f ca="1">IFERROR(__xludf.DUMMYFUNCTION("""COMPUTED_VALUE"""),"АС-У-5 4 Ом ПАШК.425541.030")</f>
        <v>АС-У-5 4 Ом ПАШК.425541.030</v>
      </c>
      <c r="B1367" s="13" t="str">
        <f ca="1">IFERROR(__xludf.DUMMYFUNCTION("""COMPUTED_VALUE"""),"Акустическая система речевого оповещения «колонка» - 4 Ом, 5Вт")</f>
        <v>Акустическая система речевого оповещения «колонка» - 4 Ом, 5Вт</v>
      </c>
      <c r="C1367" s="14">
        <f ca="1">IFERROR(__xludf.DUMMYFUNCTION("""COMPUTED_VALUE"""),778.635)</f>
        <v>778.63499999999999</v>
      </c>
      <c r="D1367" s="13"/>
    </row>
    <row r="1368" spans="1:4" ht="25.5">
      <c r="A1368" s="12" t="str">
        <f ca="1">IFERROR(__xludf.DUMMYFUNCTION("""COMPUTED_VALUE"""),"АС-У-5 8 Ом ПАШК.425541.030")</f>
        <v>АС-У-5 8 Ом ПАШК.425541.030</v>
      </c>
      <c r="B1368" s="13" t="str">
        <f ca="1">IFERROR(__xludf.DUMMYFUNCTION("""COMPUTED_VALUE"""),"Акустическая система речевого оповещения «колонка» - 8Ом, 5Вт")</f>
        <v>Акустическая система речевого оповещения «колонка» - 8Ом, 5Вт</v>
      </c>
      <c r="C1368" s="14">
        <f ca="1">IFERROR(__xludf.DUMMYFUNCTION("""COMPUTED_VALUE"""),778.635)</f>
        <v>778.63499999999999</v>
      </c>
      <c r="D1368" s="13"/>
    </row>
    <row r="1369" spans="1:4" ht="25.5">
      <c r="A1369" s="12" t="str">
        <f ca="1">IFERROR(__xludf.DUMMYFUNCTION("""COMPUTED_VALUE"""),"Устройство речевого оповещения ""Раскат"" ПАШК.425541.030")</f>
        <v>Устройство речевого оповещения "Раскат" ПАШК.425541.030</v>
      </c>
      <c r="B1369" s="13" t="str">
        <f ca="1">IFERROR(__xludf.DUMMYFUNCTION("""COMPUTED_VALUE"""),"в составе: БРО ""Раскат"", акустическая система АС-У-5М")</f>
        <v>в составе: БРО "Раскат", акустическая система АС-У-5М</v>
      </c>
      <c r="C1369" s="14">
        <f ca="1">IFERROR(__xludf.DUMMYFUNCTION("""COMPUTED_VALUE"""),3967.579)</f>
        <v>3967.5790000000002</v>
      </c>
      <c r="D1369" s="13"/>
    </row>
    <row r="1370" spans="1:4" ht="38.25">
      <c r="A1370" s="12" t="str">
        <f ca="1">IFERROR(__xludf.DUMMYFUNCTION("""COMPUTED_VALUE"""),"МУГС «Раскат» ПАШК. 425541.030-02")</f>
        <v>МУГС «Раскат» ПАШК. 425541.030-02</v>
      </c>
      <c r="B1370" s="13" t="str">
        <f ca="1">IFERROR(__xludf.DUMMYFUNCTION("""COMPUTED_VALUE"""),"Мини усилитель громкой связи, Uпит.-12В,мощность-10Вт, Imax в раб.режиме 1А, в дежурном режиме 10мА.")</f>
        <v>Мини усилитель громкой связи, Uпит.-12В,мощность-10Вт, Imax в раб.режиме 1А, в дежурном режиме 10мА.</v>
      </c>
      <c r="C1370" s="14">
        <f ca="1">IFERROR(__xludf.DUMMYFUNCTION("""COMPUTED_VALUE"""),1121.23)</f>
        <v>1121.23</v>
      </c>
      <c r="D1370" s="13"/>
    </row>
    <row r="1371" spans="1:4" ht="38.25">
      <c r="A1371" s="12" t="str">
        <f ca="1">IFERROR(__xludf.DUMMYFUNCTION("""COMPUTED_VALUE"""),"Блок согласования «Раскат» (БСР) ПАШК. 425541.030-01")</f>
        <v>Блок согласования «Раскат» (БСР) ПАШК. 425541.030-01</v>
      </c>
      <c r="B1371" s="13" t="str">
        <f ca="1">IFERROR(__xludf.DUMMYFUNCTION("""COMPUTED_VALUE"""),"Блок согласования,Uпит.12В,Imax-110мА- в раб.реж.,в дежурном режиме- не потребляет.")</f>
        <v>Блок согласования,Uпит.12В,Imax-110мА- в раб.реж.,в дежурном режиме- не потребляет.</v>
      </c>
      <c r="C1371" s="14">
        <f ca="1">IFERROR(__xludf.DUMMYFUNCTION("""COMPUTED_VALUE"""),744.029)</f>
        <v>744.029</v>
      </c>
      <c r="D1371" s="13"/>
    </row>
    <row r="1372" spans="1:4" ht="25.5">
      <c r="A1372" s="12" t="str">
        <f ca="1">IFERROR(__xludf.DUMMYFUNCTION("""COMPUTED_VALUE"""),"ИУЖ-2 «Венеция» 
ПАШК. 407733.028")</f>
        <v>ИУЖ-2 «Венеция» 
ПАШК. 407733.028</v>
      </c>
      <c r="B1372" s="13" t="str">
        <f ca="1">IFERROR(__xludf.DUMMYFUNCTION("""COMPUTED_VALUE"""),"Извещатель уровня жидкости")</f>
        <v>Извещатель уровня жидкости</v>
      </c>
      <c r="C1372" s="14">
        <f ca="1">IFERROR(__xludf.DUMMYFUNCTION("""COMPUTED_VALUE"""),1353)</f>
        <v>1353</v>
      </c>
      <c r="D1372" s="13"/>
    </row>
    <row r="1373" spans="1:4" ht="38.25">
      <c r="A1373" s="12" t="str">
        <f ca="1">IFERROR(__xludf.DUMMYFUNCTION("""COMPUTED_VALUE"""),"«Водолей-Р» исп.01 
ПАШК 407733.032")</f>
        <v>«Водолей-Р» исп.01 
ПАШК 407733.032</v>
      </c>
      <c r="B1373" s="13" t="str">
        <f ca="1">IFERROR(__xludf.DUMMYFUNCTION("""COMPUTED_VALUE"""),"Датчик влажности, релейного типа, диап. раб.напр. 10В-14В. Замкнут при отсутствии воды. С индикатором")</f>
        <v>Датчик влажности, релейного типа, диап. раб.напр. 10В-14В. Замкнут при отсутствии воды. С индикатором</v>
      </c>
      <c r="C1373" s="14">
        <f ca="1">IFERROR(__xludf.DUMMYFUNCTION("""COMPUTED_VALUE"""),1353)</f>
        <v>1353</v>
      </c>
      <c r="D1373" s="13"/>
    </row>
    <row r="1374" spans="1:4" ht="38.25">
      <c r="A1374" s="12" t="str">
        <f ca="1">IFERROR(__xludf.DUMMYFUNCTION("""COMPUTED_VALUE"""),"«Водолей-Р» исп.02 
ПАШК 407733.032")</f>
        <v>«Водолей-Р» исп.02 
ПАШК 407733.032</v>
      </c>
      <c r="B1374" s="13" t="str">
        <f ca="1">IFERROR(__xludf.DUMMYFUNCTION("""COMPUTED_VALUE"""),"Датчик влажности, релейного типа, диап.раб.напр. 10В-14В. Разомкнут при отсутствии воды. С индикатором.")</f>
        <v>Датчик влажности, релейного типа, диап.раб.напр. 10В-14В. Разомкнут при отсутствии воды. С индикатором.</v>
      </c>
      <c r="C1374" s="14">
        <f ca="1">IFERROR(__xludf.DUMMYFUNCTION("""COMPUTED_VALUE"""),1353)</f>
        <v>1353</v>
      </c>
      <c r="D1374" s="13"/>
    </row>
    <row r="1375" spans="1:4" ht="25.5">
      <c r="A1375" s="12" t="str">
        <f ca="1">IFERROR(__xludf.DUMMYFUNCTION("""COMPUTED_VALUE"""),"ИП 101-5-А1")</f>
        <v>ИП 101-5-А1</v>
      </c>
      <c r="B1375" s="13" t="str">
        <f ca="1">IFERROR(__xludf.DUMMYFUNCTION("""COMPUTED_VALUE"""),"Тепловой, темп. срабатывания от 54 до 65°С, IP20")</f>
        <v>Тепловой, темп. срабатывания от 54 до 65°С, IP20</v>
      </c>
      <c r="C1375" s="14">
        <f ca="1">IFERROR(__xludf.DUMMYFUNCTION("""COMPUTED_VALUE"""),380)</f>
        <v>380</v>
      </c>
      <c r="D1375" s="13"/>
    </row>
    <row r="1376" spans="1:4" ht="25.5">
      <c r="A1376" s="12" t="str">
        <f ca="1">IFERROR(__xludf.DUMMYFUNCTION("""COMPUTED_VALUE"""),"ИП 101-5-А3")</f>
        <v>ИП 101-5-А3</v>
      </c>
      <c r="B1376" s="13" t="str">
        <f ca="1">IFERROR(__xludf.DUMMYFUNCTION("""COMPUTED_VALUE"""),"Тепловой, темп. срабатывания от 64 до 76°С, IP20")</f>
        <v>Тепловой, темп. срабатывания от 64 до 76°С, IP20</v>
      </c>
      <c r="C1376" s="14">
        <f ca="1">IFERROR(__xludf.DUMMYFUNCTION("""COMPUTED_VALUE"""),380)</f>
        <v>380</v>
      </c>
      <c r="D1376" s="13"/>
    </row>
    <row r="1377" spans="1:4" ht="25.5">
      <c r="A1377" s="12" t="str">
        <f ca="1">IFERROR(__xludf.DUMMYFUNCTION("""COMPUTED_VALUE"""),"ИП 101-5-В")</f>
        <v>ИП 101-5-В</v>
      </c>
      <c r="B1377" s="13" t="str">
        <f ca="1">IFERROR(__xludf.DUMMYFUNCTION("""COMPUTED_VALUE"""),"Тепловой, темп. срабатывания от 69 до 85°С, IP20")</f>
        <v>Тепловой, темп. срабатывания от 69 до 85°С, IP20</v>
      </c>
      <c r="C1377" s="14">
        <f ca="1">IFERROR(__xludf.DUMMYFUNCTION("""COMPUTED_VALUE"""),380)</f>
        <v>380</v>
      </c>
      <c r="D1377" s="13"/>
    </row>
    <row r="1378" spans="1:4" ht="38.25">
      <c r="A1378" s="12" t="str">
        <f ca="1">IFERROR(__xludf.DUMMYFUNCTION("""COMPUTED_VALUE"""),"ИП 103-10-(А1) ПАШК 425212.050 (без ивс-2)")</f>
        <v>ИП 103-10-(А1) ПАШК 425212.050 (без ивс-2)</v>
      </c>
      <c r="B1378" s="13" t="str">
        <f ca="1">IFERROR(__xludf.DUMMYFUNCTION("""COMPUTED_VALUE"""),"Тепловой, встроенный световой индикатор,IP65, температура сраб. 54°С- 65°С")</f>
        <v>Тепловой, встроенный световой индикатор,IP65, температура сраб. 54°С- 65°С</v>
      </c>
      <c r="C1378" s="14">
        <f ca="1">IFERROR(__xludf.DUMMYFUNCTION("""COMPUTED_VALUE"""),1580)</f>
        <v>1580</v>
      </c>
      <c r="D1378" s="13"/>
    </row>
    <row r="1379" spans="1:4" ht="38.25">
      <c r="A1379" s="12" t="str">
        <f ca="1">IFERROR(__xludf.DUMMYFUNCTION("""COMPUTED_VALUE"""),"ИП 103-10-(А3) ПАШК 425212.050 (без ивс-2)")</f>
        <v>ИП 103-10-(А3) ПАШК 425212.050 (без ивс-2)</v>
      </c>
      <c r="B1379" s="13" t="str">
        <f ca="1">IFERROR(__xludf.DUMMYFUNCTION("""COMPUTED_VALUE"""),"Тепловой, встроенный световой индикатор, IP 65, темпер. сраб. 64°С -- 76°С")</f>
        <v>Тепловой, встроенный световой индикатор, IP 65, темпер. сраб. 64°С -- 76°С</v>
      </c>
      <c r="C1379" s="14">
        <f ca="1">IFERROR(__xludf.DUMMYFUNCTION("""COMPUTED_VALUE"""),1580)</f>
        <v>1580</v>
      </c>
      <c r="D1379" s="13"/>
    </row>
    <row r="1380" spans="1:4" ht="38.25">
      <c r="A1380" s="12" t="str">
        <f ca="1">IFERROR(__xludf.DUMMYFUNCTION("""COMPUTED_VALUE"""),"ИП 103-10-(А1) ПАШК 425212.050 (с ивс-2)")</f>
        <v>ИП 103-10-(А1) ПАШК 425212.050 (с ивс-2)</v>
      </c>
      <c r="B1380" s="13" t="str">
        <f ca="1">IFERROR(__xludf.DUMMYFUNCTION("""COMPUTED_VALUE"""),"Тепловой, встроенный световой индикатор,IP65, температура сраб. 54°С- 65°С")</f>
        <v>Тепловой, встроенный световой индикатор,IP65, температура сраб. 54°С- 65°С</v>
      </c>
      <c r="C1380" s="14">
        <f ca="1">IFERROR(__xludf.DUMMYFUNCTION("""COMPUTED_VALUE"""),1749.825)</f>
        <v>1749.825</v>
      </c>
      <c r="D1380" s="13"/>
    </row>
    <row r="1381" spans="1:4" ht="38.25">
      <c r="A1381" s="12" t="str">
        <f ca="1">IFERROR(__xludf.DUMMYFUNCTION("""COMPUTED_VALUE"""),"ИП 103-10-(А3) ПАШК 425212.050 (с ивс-2)")</f>
        <v>ИП 103-10-(А3) ПАШК 425212.050 (с ивс-2)</v>
      </c>
      <c r="B1381" s="13" t="str">
        <f ca="1">IFERROR(__xludf.DUMMYFUNCTION("""COMPUTED_VALUE"""),"Тепловой, встроенный световой индикатор, IP 65, темпер. сраб. 64°С -- 76°С")</f>
        <v>Тепловой, встроенный световой индикатор, IP 65, темпер. сраб. 64°С -- 76°С</v>
      </c>
      <c r="C1381" s="14">
        <f ca="1">IFERROR(__xludf.DUMMYFUNCTION("""COMPUTED_VALUE"""),1749.825)</f>
        <v>1749.825</v>
      </c>
      <c r="D1381" s="13"/>
    </row>
    <row r="1382" spans="1:4" ht="51">
      <c r="A1382" s="12" t="str">
        <f ca="1">IFERROR(__xludf.DUMMYFUNCTION("""COMPUTED_VALUE"""),"ИП 103-10 (А1, А3) в комплекте с Ус-4")</f>
        <v>ИП 103-10 (А1, А3) в комплекте с Ус-4</v>
      </c>
      <c r="B1382" s="13" t="str">
        <f ca="1">IFERROR(__xludf.DUMMYFUNCTION("""COMPUTED_VALUE"""),"Тепловой, встроенный световой индикатор, IP 65, темпер. сраб. 54°С- 65°С, 64°С -- 76°С. В комплекте с устройством соединительным Ус-4.")</f>
        <v>Тепловой, встроенный световой индикатор, IP 65, темпер. сраб. 54°С- 65°С, 64°С -- 76°С. В комплекте с устройством соединительным Ус-4.</v>
      </c>
      <c r="C1382" s="14">
        <f ca="1">IFERROR(__xludf.DUMMYFUNCTION("""COMPUTED_VALUE"""),1863.015)</f>
        <v>1863.0150000000001</v>
      </c>
      <c r="D1382" s="13"/>
    </row>
    <row r="1383" spans="1:4" ht="63.75">
      <c r="A1383" s="12" t="str">
        <f ca="1">IFERROR(__xludf.DUMMYFUNCTION("""COMPUTED_VALUE"""),"ИП 105-1 А1 ПАШК 425212.009 (без ивс-2)")</f>
        <v>ИП 105-1 А1 ПАШК 425212.009 (без ивс-2)</v>
      </c>
      <c r="B1383"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 54°С- 65°С")</f>
        <v>Тепловой максимальный ,световая индикация, ток потребления не более 30мкА в дежурном режиме, ток потребления в режиме «Тревога» 30мА, 54°С- 65°С</v>
      </c>
      <c r="C1383" s="14">
        <f ca="1">IFERROR(__xludf.DUMMYFUNCTION("""COMPUTED_VALUE"""),641.025)</f>
        <v>641.02499999999998</v>
      </c>
      <c r="D1383" s="13"/>
    </row>
    <row r="1384" spans="1:4" ht="63.75">
      <c r="A1384" s="12" t="str">
        <f ca="1">IFERROR(__xludf.DUMMYFUNCTION("""COMPUTED_VALUE"""),"ИП 105-1 А3 ПАШК 425212.009 (без ивс-2)")</f>
        <v>ИП 105-1 А3 ПАШК 425212.009 (без ивс-2)</v>
      </c>
      <c r="B1384"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 64°С -- 76°С.")</f>
        <v>Тепловой максимальный ,световая индикация, ток потребления не более 30мкА в дежурном режиме, ток потребления в режиме «Тревога» 30мА, 64°С -- 76°С.</v>
      </c>
      <c r="C1384" s="14">
        <f ca="1">IFERROR(__xludf.DUMMYFUNCTION("""COMPUTED_VALUE"""),641.025)</f>
        <v>641.02499999999998</v>
      </c>
      <c r="D1384" s="13"/>
    </row>
    <row r="1385" spans="1:4" ht="63.75">
      <c r="A1385" s="12" t="str">
        <f ca="1">IFERROR(__xludf.DUMMYFUNCTION("""COMPUTED_VALUE"""),"ИП 105-1 А1 ПАШК 425212.009 (с ивс-2)")</f>
        <v>ИП 105-1 А1 ПАШК 425212.009 (с ивс-2)</v>
      </c>
      <c r="B1385"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 54°С- 65°С")</f>
        <v>Тепловой максимальный ,световая индикация, ток потребления не более 30мкА в дежурном режиме, ток потребления в режиме «Тревога» 30мА, 54°С- 65°С</v>
      </c>
      <c r="C1385" s="14">
        <f ca="1">IFERROR(__xludf.DUMMYFUNCTION("""COMPUTED_VALUE"""),1061.445)</f>
        <v>1061.4449999999999</v>
      </c>
      <c r="D1385" s="13"/>
    </row>
    <row r="1386" spans="1:4" ht="63.75">
      <c r="A1386" s="12" t="str">
        <f ca="1">IFERROR(__xludf.DUMMYFUNCTION("""COMPUTED_VALUE"""),"ИП 105-1 А3 ПАШК 425212.009 (с ивс-2)")</f>
        <v>ИП 105-1 А3 ПАШК 425212.009 (с ивс-2)</v>
      </c>
      <c r="B1386"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30мА,64°С -- 76°С.")</f>
        <v>Тепловой максимальный ,световая индикация, ток потребления не более 30мкА в дежурном режиме, ток потребления в режиме «Тревога» 30мА,64°С -- 76°С.</v>
      </c>
      <c r="C1386" s="14">
        <f ca="1">IFERROR(__xludf.DUMMYFUNCTION("""COMPUTED_VALUE"""),1061.445)</f>
        <v>1061.4449999999999</v>
      </c>
      <c r="D1386" s="13"/>
    </row>
    <row r="1387" spans="1:4" ht="12.75">
      <c r="A1387" s="12" t="str">
        <f ca="1">IFERROR(__xludf.DUMMYFUNCTION("""COMPUTED_VALUE"""),"ИП 105-1-Н")</f>
        <v>ИП 105-1-Н</v>
      </c>
      <c r="B1387" s="13" t="str">
        <f ca="1">IFERROR(__xludf.DUMMYFUNCTION("""COMPUTED_VALUE"""),"46-52°С, без индикации")</f>
        <v>46-52°С, без индикации</v>
      </c>
      <c r="C1387" s="14">
        <f ca="1">IFERROR(__xludf.DUMMYFUNCTION("""COMPUTED_VALUE"""),457.8)</f>
        <v>457.8</v>
      </c>
      <c r="D1387" s="13"/>
    </row>
    <row r="1388" spans="1:4" ht="25.5">
      <c r="A1388" s="12" t="str">
        <f ca="1">IFERROR(__xludf.DUMMYFUNCTION("""COMPUTED_VALUE"""),"ИП 105-1-Н АЛАБАЙ")</f>
        <v>ИП 105-1-Н АЛАБАЙ</v>
      </c>
      <c r="B1388" s="13" t="str">
        <f ca="1">IFERROR(__xludf.DUMMYFUNCTION("""COMPUTED_VALUE"""),"46-52°С, имеет выносное устройство индикации ИВС-3")</f>
        <v>46-52°С, имеет выносное устройство индикации ИВС-3</v>
      </c>
      <c r="C1388" s="14">
        <f ca="1">IFERROR(__xludf.DUMMYFUNCTION("""COMPUTED_VALUE"""),615.3)</f>
        <v>615.29999999999995</v>
      </c>
      <c r="D1388" s="13"/>
    </row>
    <row r="1389" spans="1:4" ht="12.75">
      <c r="A1389" s="12" t="str">
        <f ca="1">IFERROR(__xludf.DUMMYFUNCTION("""COMPUTED_VALUE"""),"ИП 105-1-Н АЯКС")</f>
        <v>ИП 105-1-Н АЯКС</v>
      </c>
      <c r="B1389" s="13" t="str">
        <f ca="1">IFERROR(__xludf.DUMMYFUNCTION("""COMPUTED_VALUE"""),"46-52°С, имеет встроенную индикацию")</f>
        <v>46-52°С, имеет встроенную индикацию</v>
      </c>
      <c r="C1389" s="14">
        <f ca="1">IFERROR(__xludf.DUMMYFUNCTION("""COMPUTED_VALUE"""),636.3)</f>
        <v>636.29999999999995</v>
      </c>
      <c r="D1389" s="13"/>
    </row>
    <row r="1390" spans="1:4" ht="127.5">
      <c r="A1390" s="12" t="str">
        <f ca="1">IFERROR(__xludf.DUMMYFUNCTION("""COMPUTED_VALUE"""),"ДТ 105-1-Н IP 20 ПАШК 425212.022-2")</f>
        <v>ДТ 105-1-Н IP 20 ПАШК 425212.022-2</v>
      </c>
      <c r="B1390" s="13" t="str">
        <f ca="1">IFERROR(__xludf.DUMMYFUNCTION("""COMPUTED_VALUE"""),"Датчик температурный, предназначен для круглосуточной работы с целью обнаружения повышения температуры до номинальной в моторных отсеках автотранспорта, термошкафах и др. Датчик имеет НР контакты и выдает информацию о повышении температуры до номинальной "&amp;"путем замыкания контактов датчика. Номинальная температура срабатывания 165 град.С")</f>
        <v>Датчик температурный, предназначен для круглосуточной работы с целью обнаружения повышения температуры до номинальной в моторных отсеках автотранспорта, термошкафах и др. Датчик имеет НР контакты и выдает информацию о повышении температуры до номинальной путем замыкания контактов датчика. Номинальная температура срабатывания 165 град.С</v>
      </c>
      <c r="C1390" s="14">
        <f ca="1">IFERROR(__xludf.DUMMYFUNCTION("""COMPUTED_VALUE"""),425.04)</f>
        <v>425.04</v>
      </c>
      <c r="D1390" s="13"/>
    </row>
    <row r="1391" spans="1:4" ht="25.5">
      <c r="A1391" s="12" t="str">
        <f ca="1">IFERROR(__xludf.DUMMYFUNCTION("""COMPUTED_VALUE"""),"ИП 105-1 D «САУНА» ПАШК 425212.022")</f>
        <v>ИП 105-1 D «САУНА» ПАШК 425212.022</v>
      </c>
      <c r="B1391" s="13" t="str">
        <f ca="1">IFERROR(__xludf.DUMMYFUNCTION("""COMPUTED_VALUE"""),"Температура срабатывания от 99 °С до 115 °С , НЗ")</f>
        <v>Температура срабатывания от 99 °С до 115 °С , НЗ</v>
      </c>
      <c r="C1391" s="14">
        <f ca="1">IFERROR(__xludf.DUMMYFUNCTION("""COMPUTED_VALUE"""),1063.755)</f>
        <v>1063.7550000000001</v>
      </c>
      <c r="D1391" s="13"/>
    </row>
    <row r="1392" spans="1:4" ht="25.5">
      <c r="A1392" s="12" t="str">
        <f ca="1">IFERROR(__xludf.DUMMYFUNCTION("""COMPUTED_VALUE"""),"ИП 105-1 G «САУНА-150» ПАШК 425212.022-01")</f>
        <v>ИП 105-1 G «САУНА-150» ПАШК 425212.022-01</v>
      </c>
      <c r="B1392" s="13" t="str">
        <f ca="1">IFERROR(__xludf.DUMMYFUNCTION("""COMPUTED_VALUE"""),"Извещатель тепловой, с диапазоном температур 144°С-160°С. НЗ")</f>
        <v>Извещатель тепловой, с диапазоном температур 144°С-160°С. НЗ</v>
      </c>
      <c r="C1392" s="14">
        <f ca="1">IFERROR(__xludf.DUMMYFUNCTION("""COMPUTED_VALUE"""),1852.62)</f>
        <v>1852.62</v>
      </c>
      <c r="D1392" s="13"/>
    </row>
    <row r="1393" spans="1:4" ht="25.5">
      <c r="A1393" s="12" t="str">
        <f ca="1">IFERROR(__xludf.DUMMYFUNCTION("""COMPUTED_VALUE"""),"ИВС-1 ПАШК.425212.009")</f>
        <v>ИВС-1 ПАШК.425212.009</v>
      </c>
      <c r="B1393" s="13" t="str">
        <f ca="1">IFERROR(__xludf.DUMMYFUNCTION("""COMPUTED_VALUE"""),"Индикатор выносной световой с возможностью оконечника.")</f>
        <v>Индикатор выносной световой с возможностью оконечника.</v>
      </c>
      <c r="C1393" s="14">
        <f ca="1">IFERROR(__xludf.DUMMYFUNCTION("""COMPUTED_VALUE"""),198.4521)</f>
        <v>198.4521</v>
      </c>
      <c r="D1393" s="13"/>
    </row>
    <row r="1394" spans="1:4" ht="63.75">
      <c r="A1394" s="12" t="str">
        <f ca="1">IFERROR(__xludf.DUMMYFUNCTION("""COMPUTED_VALUE"""),"ИВС-2 ПАШК.425543.024")</f>
        <v>ИВС-2 ПАШК.425543.024</v>
      </c>
      <c r="B1394" s="13" t="str">
        <f ca="1">IFERROR(__xludf.DUMMYFUNCTION("""COMPUTED_VALUE"""),"Индикатор выносной световой с возможностью оконечника. Индикатор обеспечивает контроль как однополярных так и двухполярных шлейфов сигнализации.")</f>
        <v>Индикатор выносной световой с возможностью оконечника. Индикатор обеспечивает контроль как однополярных так и двухполярных шлейфов сигнализации.</v>
      </c>
      <c r="C1394" s="14">
        <f ca="1">IFERROR(__xludf.DUMMYFUNCTION("""COMPUTED_VALUE"""),381.15)</f>
        <v>381.15</v>
      </c>
      <c r="D1394" s="13"/>
    </row>
    <row r="1395" spans="1:4" ht="38.25">
      <c r="A1395" s="12" t="str">
        <f ca="1">IFERROR(__xludf.DUMMYFUNCTION("""COMPUTED_VALUE"""),"ИП 115-1-А1R1 «Макс» ПАШК.425214.001")</f>
        <v>ИП 115-1-А1R1 «Макс» ПАШК.425214.001</v>
      </c>
      <c r="B1395" s="13" t="str">
        <f ca="1">IFERROR(__xludf.DUMMYFUNCTION("""COMPUTED_VALUE"""),"Максимально-дифференциальный, тепловой, температура срабатывания от 54 до 65 °С , IP 20")</f>
        <v>Максимально-дифференциальный, тепловой, температура срабатывания от 54 до 65 °С , IP 20</v>
      </c>
      <c r="C1395" s="14">
        <f ca="1">IFERROR(__xludf.DUMMYFUNCTION("""COMPUTED_VALUE"""),981.99255)</f>
        <v>981.99255000000005</v>
      </c>
      <c r="D1395" s="13"/>
    </row>
    <row r="1396" spans="1:4" ht="38.25">
      <c r="A1396" s="12" t="str">
        <f ca="1">IFERROR(__xludf.DUMMYFUNCTION("""COMPUTED_VALUE"""),"ИП 115-1-А1R1 (IP44) «Макс» ПАШК.425214.002")</f>
        <v>ИП 115-1-А1R1 (IP44) «Макс» ПАШК.425214.002</v>
      </c>
      <c r="B1396" s="13" t="str">
        <f ca="1">IFERROR(__xludf.DUMMYFUNCTION("""COMPUTED_VALUE"""),"Максимально-дифференциальный, тепловой, температура срабатывания от 54 до 65 °С , IP44")</f>
        <v>Максимально-дифференциальный, тепловой, температура срабатывания от 54 до 65 °С , IP44</v>
      </c>
      <c r="C1396" s="14">
        <f ca="1">IFERROR(__xludf.DUMMYFUNCTION("""COMPUTED_VALUE"""),1462.8999)</f>
        <v>1462.8998999999999</v>
      </c>
      <c r="D1396" s="13"/>
    </row>
    <row r="1397" spans="1:4" ht="38.25">
      <c r="A1397" s="12" t="str">
        <f ca="1">IFERROR(__xludf.DUMMYFUNCTION("""COMPUTED_VALUE"""),"ИП 115-1-А3R1 (IP44) «Макс» ПАШК.425214.002")</f>
        <v>ИП 115-1-А3R1 (IP44) «Макс» ПАШК.425214.002</v>
      </c>
      <c r="B1397" s="13" t="str">
        <f ca="1">IFERROR(__xludf.DUMMYFUNCTION("""COMPUTED_VALUE"""),"Максимально-дифференциальный, тепловой, температура срабатывания от 64 до 76 °С , IP 44")</f>
        <v>Максимально-дифференциальный, тепловой, температура срабатывания от 64 до 76 °С , IP 44</v>
      </c>
      <c r="C1397" s="14">
        <f ca="1">IFERROR(__xludf.DUMMYFUNCTION("""COMPUTED_VALUE"""),1462.8999)</f>
        <v>1462.8998999999999</v>
      </c>
      <c r="D1397" s="13"/>
    </row>
    <row r="1398" spans="1:4" ht="38.25">
      <c r="A1398" s="12" t="str">
        <f ca="1">IFERROR(__xludf.DUMMYFUNCTION("""COMPUTED_VALUE"""),"ИП 115-1-CR1 (IP44) «Макс» ПАШК.425214.002")</f>
        <v>ИП 115-1-CR1 (IP44) «Макс» ПАШК.425214.002</v>
      </c>
      <c r="B1398" s="13" t="str">
        <f ca="1">IFERROR(__xludf.DUMMYFUNCTION("""COMPUTED_VALUE"""),"Максимально-дифференциальный, тепловой, температура срабатывания от 84 до 100 °С , IP 44")</f>
        <v>Максимально-дифференциальный, тепловой, температура срабатывания от 84 до 100 °С , IP 44</v>
      </c>
      <c r="C1398" s="14">
        <f ca="1">IFERROR(__xludf.DUMMYFUNCTION("""COMPUTED_VALUE"""),1755.4152)</f>
        <v>1755.4151999999999</v>
      </c>
      <c r="D1398" s="13"/>
    </row>
    <row r="1399" spans="1:4" ht="25.5">
      <c r="A1399" s="12" t="str">
        <f ca="1">IFERROR(__xludf.DUMMYFUNCTION("""COMPUTED_VALUE"""),"ИПР 514-2 И «Культ» ПАШК.425211.010")</f>
        <v>ИПР 514-2 И «Культ» ПАШК.425211.010</v>
      </c>
      <c r="B1399" s="13" t="str">
        <f ca="1">IFERROR(__xludf.DUMMYFUNCTION("""COMPUTED_VALUE"""),"Извещатель пожарный ручной, с индикацией. металл.педаль 10-72В, IP41")</f>
        <v>Извещатель пожарный ручной, с индикацией. металл.педаль 10-72В, IP41</v>
      </c>
      <c r="C1399" s="14">
        <f ca="1">IFERROR(__xludf.DUMMYFUNCTION("""COMPUTED_VALUE"""),5813.808)</f>
        <v>5813.808</v>
      </c>
      <c r="D1399" s="13"/>
    </row>
    <row r="1400" spans="1:4" ht="25.5">
      <c r="A1400" s="12" t="str">
        <f ca="1">IFERROR(__xludf.DUMMYFUNCTION("""COMPUTED_VALUE"""),"ИПР 514-2 И «Культ» (с ивс-2) ПАШК.425211.010")</f>
        <v>ИПР 514-2 И «Культ» (с ивс-2) ПАШК.425211.010</v>
      </c>
      <c r="B1400" s="13" t="str">
        <f ca="1">IFERROR(__xludf.DUMMYFUNCTION("""COMPUTED_VALUE"""),"Извещатель пожарный ручной, с индикацией. металл.педаль 10-72В, IP41")</f>
        <v>Извещатель пожарный ручной, с индикацией. металл.педаль 10-72В, IP41</v>
      </c>
      <c r="C1400" s="14">
        <f ca="1">IFERROR(__xludf.DUMMYFUNCTION("""COMPUTED_VALUE"""),6159.00285)</f>
        <v>6159.0028499999999</v>
      </c>
      <c r="D1400" s="13"/>
    </row>
    <row r="1401" spans="1:4" ht="51">
      <c r="A1401" s="12" t="str">
        <f ca="1">IFERROR(__xludf.DUMMYFUNCTION("""COMPUTED_VALUE"""),"ИП 535-26 «Север» (без ИВС-2 ) Старый корпус АТФЕ.425211.001")</f>
        <v>ИП 535-26 «Север» (без ИВС-2 ) Старый корпус АТФЕ.425211.001</v>
      </c>
      <c r="B1401" s="13" t="str">
        <f ca="1">IFERROR(__xludf.DUMMYFUNCTION("""COMPUTED_VALUE"""),"U пит. 9÷30В, 20мА, темп.окр.среды -40°С…+60° С. Извещатель пожарный ручной, с переключающимся герконом, IP 66")</f>
        <v>U пит. 9÷30В, 20мА, темп.окр.среды -40°С…+60° С. Извещатель пожарный ручной, с переключающимся герконом, IP 66</v>
      </c>
      <c r="C1401" s="14">
        <f ca="1">IFERROR(__xludf.DUMMYFUNCTION("""COMPUTED_VALUE"""),6168.5195)</f>
        <v>6168.5195000000003</v>
      </c>
      <c r="D1401" s="13"/>
    </row>
    <row r="1402" spans="1:4" ht="51">
      <c r="A1402" s="12" t="str">
        <f ca="1">IFERROR(__xludf.DUMMYFUNCTION("""COMPUTED_VALUE"""),"ИП 535-26 «Север» (с ИВС-2 ) Старый корпус АТФЕ.425211.001")</f>
        <v>ИП 535-26 «Север» (с ИВС-2 ) Старый корпус АТФЕ.425211.001</v>
      </c>
      <c r="B1402" s="13" t="str">
        <f ca="1">IFERROR(__xludf.DUMMYFUNCTION("""COMPUTED_VALUE"""),"U пит. 9÷30В, 20мА, темп.окр.среды -40°С…+60° С. Извещатель пожарный ручной, с переключающимся герконом, IP 66")</f>
        <v>U пит. 9÷30В, 20мА, темп.окр.среды -40°С…+60° С. Извещатель пожарный ручной, с переключающимся герконом, IP 66</v>
      </c>
      <c r="C1402" s="14">
        <f ca="1">IFERROR(__xludf.DUMMYFUNCTION("""COMPUTED_VALUE"""),6546.5961)</f>
        <v>6546.5960999999998</v>
      </c>
      <c r="D1402" s="13"/>
    </row>
    <row r="1403" spans="1:4" ht="153">
      <c r="A1403" s="12" t="str">
        <f ca="1">IFERROR(__xludf.DUMMYFUNCTION("""COMPUTED_VALUE"""),"УДП 535-26 Север IP66 (пуск пожаротушения) (дымоудаление) (аварийный выход) (без ИВС-2) АТФЕ.425211.002 ТУ")</f>
        <v>УДП 535-26 Север IP66 (пуск пожаротушения) (дымоудаление) (аварийный выход) (без ИВС-2) АТФЕ.425211.002 ТУ</v>
      </c>
      <c r="B1403" s="13" t="str">
        <f ca="1">IFERROR(__xludf.DUMMYFUNCTION("""COMPUTED_VALUE"""),"Устройство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магнитоконтактно"&amp;"го приводного элемента. Надпись назначения на ручке: ""Пуск пожаротушения"" или ""Дымоудаление"" или ""Аварийный выход"".")</f>
        <v>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магнитоконтактного приводного элемента. Надпись назначения на ручке: "Пуск пожаротушения" или "Дымоудаление" или "Аварийный выход".</v>
      </c>
      <c r="C1403" s="14">
        <f ca="1">IFERROR(__xludf.DUMMYFUNCTION("""COMPUTED_VALUE"""),5346.7238)</f>
        <v>5346.7237999999998</v>
      </c>
      <c r="D1403" s="13"/>
    </row>
    <row r="1404" spans="1:4" ht="153">
      <c r="A1404" s="12" t="str">
        <f ca="1">IFERROR(__xludf.DUMMYFUNCTION("""COMPUTED_VALUE"""),"УДП 535-26 Север IP66 (пуск пожаротушения) (дымоудаление) (аварийный выход) (с ИВС-2) АТФЕ.425211.002 ТУ")</f>
        <v>УДП 535-26 Север IP66 (пуск пожаротушения) (дымоудаление) (аварийный выход) (с ИВС-2) АТФЕ.425211.002 ТУ</v>
      </c>
      <c r="B1404" s="13" t="str">
        <f ca="1">IFERROR(__xludf.DUMMYFUNCTION("""COMPUTED_VALUE"""),"Устройство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магнитоконтактно"&amp;"го приводного элемента. Надпись назначения на ручке: ""Пуск пожаротушения"" или ""Дымоудаление"" или ""Аварийный выход"".")</f>
        <v>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магнитоконтактного приводного элемента. Надпись назначения на ручке: "Пуск пожаротушения" или "Дымоудаление" или "Аварийный выход".</v>
      </c>
      <c r="C1404" s="14">
        <f ca="1">IFERROR(__xludf.DUMMYFUNCTION("""COMPUTED_VALUE"""),5764.5852)</f>
        <v>5764.5852000000004</v>
      </c>
      <c r="D1404" s="13"/>
    </row>
    <row r="1405" spans="1:4" ht="25.5">
      <c r="A1405" s="12" t="str">
        <f ca="1">IFERROR(__xludf.DUMMYFUNCTION("""COMPUTED_VALUE"""),"ИП 105-1-(50°С) ПАШК.425212.009")</f>
        <v>ИП 105-1-(50°С) ПАШК.425212.009</v>
      </c>
      <c r="B1405" s="13" t="str">
        <f ca="1">IFERROR(__xludf.DUMMYFUNCTION("""COMPUTED_VALUE"""),"Температура срабатывания 50 °С, НЗ, IP 20, в комплекте с ИВС-1")</f>
        <v>Температура срабатывания 50 °С, НЗ, IP 20, в комплекте с ИВС-1</v>
      </c>
      <c r="C1405" s="14">
        <f ca="1">IFERROR(__xludf.DUMMYFUNCTION("""COMPUTED_VALUE"""),635)</f>
        <v>635</v>
      </c>
      <c r="D1405" s="13"/>
    </row>
    <row r="1406" spans="1:4" ht="25.5">
      <c r="A1406" s="12" t="str">
        <f ca="1">IFERROR(__xludf.DUMMYFUNCTION("""COMPUTED_VALUE"""),"ИП 105-1-(50°С) без ИВС ПАШК.425212.009")</f>
        <v>ИП 105-1-(50°С) без ИВС ПАШК.425212.009</v>
      </c>
      <c r="B1406" s="13" t="str">
        <f ca="1">IFERROR(__xludf.DUMMYFUNCTION("""COMPUTED_VALUE"""),"Температура срабатывания 50 °С, НЗ, IP 20")</f>
        <v>Температура срабатывания 50 °С, НЗ, IP 20</v>
      </c>
      <c r="C1406" s="14">
        <f ca="1">IFERROR(__xludf.DUMMYFUNCTION("""COMPUTED_VALUE"""),457)</f>
        <v>457</v>
      </c>
      <c r="D1406" s="13"/>
    </row>
    <row r="1407" spans="1:4" ht="12.75">
      <c r="A1407" s="15"/>
      <c r="B1407" s="13"/>
      <c r="C1407" s="13"/>
      <c r="D1407" s="13"/>
    </row>
    <row r="1408" spans="1:4" ht="12.75">
      <c r="A1408" s="15"/>
      <c r="B1408" s="13"/>
      <c r="C1408" s="13"/>
      <c r="D1408" s="13"/>
    </row>
    <row r="1409" spans="1:4" ht="12.75">
      <c r="A1409" s="15"/>
      <c r="B1409" s="13"/>
      <c r="C1409" s="13"/>
      <c r="D1409" s="13"/>
    </row>
    <row r="1410" spans="1:4" ht="12.75">
      <c r="A1410" s="15"/>
      <c r="B1410" s="13"/>
      <c r="C1410" s="13"/>
      <c r="D1410" s="13"/>
    </row>
    <row r="1411" spans="1:4" ht="12.75">
      <c r="A1411" s="15"/>
      <c r="B1411" s="13"/>
      <c r="C1411" s="13"/>
      <c r="D1411" s="13"/>
    </row>
    <row r="1412" spans="1:4" ht="12.75">
      <c r="A1412" s="15"/>
      <c r="B1412" s="13"/>
      <c r="C1412" s="13"/>
      <c r="D1412" s="13"/>
    </row>
    <row r="1413" spans="1:4" ht="12.75">
      <c r="A1413" s="15"/>
      <c r="B1413" s="13"/>
      <c r="C1413" s="13"/>
      <c r="D1413" s="13"/>
    </row>
    <row r="1414" spans="1:4" ht="12.75">
      <c r="A1414" s="15"/>
      <c r="B1414" s="13"/>
      <c r="C1414" s="13"/>
      <c r="D1414" s="13"/>
    </row>
    <row r="1415" spans="1:4" ht="12.75">
      <c r="A1415" s="15"/>
      <c r="B1415" s="13"/>
      <c r="C1415" s="13"/>
      <c r="D1415" s="13"/>
    </row>
    <row r="1416" spans="1:4" ht="12.75">
      <c r="A1416" s="15"/>
      <c r="B1416" s="13"/>
      <c r="C1416" s="13"/>
      <c r="D1416" s="13"/>
    </row>
    <row r="1417" spans="1:4" ht="12.75">
      <c r="A1417" s="15"/>
      <c r="B1417" s="13"/>
      <c r="C1417" s="13"/>
      <c r="D1417" s="13"/>
    </row>
    <row r="1418" spans="1:4" ht="12.75">
      <c r="A1418" s="15"/>
      <c r="B1418" s="13"/>
      <c r="C1418" s="13"/>
      <c r="D1418" s="13"/>
    </row>
    <row r="1419" spans="1:4" ht="12.75">
      <c r="A1419" s="15"/>
      <c r="B1419" s="13"/>
      <c r="C1419" s="13"/>
      <c r="D1419" s="13"/>
    </row>
    <row r="1420" spans="1:4" ht="12.75">
      <c r="A1420" s="15"/>
      <c r="B1420" s="13"/>
      <c r="C1420" s="13"/>
      <c r="D1420" s="13"/>
    </row>
    <row r="1421" spans="1:4" ht="12.75">
      <c r="A1421" s="15"/>
      <c r="B1421" s="13"/>
      <c r="C1421" s="13"/>
      <c r="D1421" s="13"/>
    </row>
    <row r="1422" spans="1:4" ht="12.75">
      <c r="A1422" s="15"/>
      <c r="B1422" s="13"/>
      <c r="C1422" s="13"/>
      <c r="D1422" s="13"/>
    </row>
    <row r="1423" spans="1:4" ht="12.75">
      <c r="A1423" s="15"/>
      <c r="B1423" s="13"/>
      <c r="C1423" s="13"/>
      <c r="D1423" s="13"/>
    </row>
    <row r="1424" spans="1:4" ht="12.75">
      <c r="A1424" s="15"/>
      <c r="B1424" s="13"/>
      <c r="C1424" s="13"/>
      <c r="D1424" s="13"/>
    </row>
    <row r="1425" spans="1:4" ht="12.75">
      <c r="A1425" s="15"/>
      <c r="B1425" s="13"/>
      <c r="C1425" s="13"/>
      <c r="D1425" s="13"/>
    </row>
    <row r="1426" spans="1:4" ht="12.75">
      <c r="A1426" s="15"/>
      <c r="B1426" s="13"/>
      <c r="C1426" s="13"/>
      <c r="D1426" s="13"/>
    </row>
    <row r="1427" spans="1:4" ht="12.75">
      <c r="A1427" s="15"/>
      <c r="B1427" s="13"/>
      <c r="C1427" s="13"/>
      <c r="D1427" s="13"/>
    </row>
    <row r="1428" spans="1:4" ht="12.75">
      <c r="A1428" s="15"/>
      <c r="B1428" s="13"/>
      <c r="C1428" s="13"/>
      <c r="D1428" s="13"/>
    </row>
    <row r="1429" spans="1:4" ht="12.75">
      <c r="A1429" s="15"/>
      <c r="B1429" s="13"/>
      <c r="C1429" s="13"/>
      <c r="D1429" s="13"/>
    </row>
    <row r="1430" spans="1:4" ht="12.75">
      <c r="A1430" s="15"/>
      <c r="B1430" s="13"/>
      <c r="C1430" s="13"/>
      <c r="D1430" s="13"/>
    </row>
    <row r="1431" spans="1:4" ht="12.75">
      <c r="A1431" s="15"/>
      <c r="B1431" s="13"/>
      <c r="C1431" s="13"/>
      <c r="D1431" s="13"/>
    </row>
    <row r="1432" spans="1:4" ht="12.75">
      <c r="A1432" s="15"/>
      <c r="B1432" s="13"/>
      <c r="C1432" s="13"/>
      <c r="D1432" s="13"/>
    </row>
    <row r="1433" spans="1:4" ht="12.75">
      <c r="A1433" s="15"/>
      <c r="B1433" s="13"/>
      <c r="C1433" s="13"/>
      <c r="D1433" s="13"/>
    </row>
    <row r="1434" spans="1:4" ht="12.75">
      <c r="A1434" s="15"/>
      <c r="B1434" s="13"/>
      <c r="C1434" s="13"/>
      <c r="D1434" s="13"/>
    </row>
    <row r="1435" spans="1:4" ht="12.75">
      <c r="A1435" s="15"/>
      <c r="B1435" s="13"/>
      <c r="C1435" s="13"/>
      <c r="D1435" s="13"/>
    </row>
    <row r="1436" spans="1:4" ht="12.75">
      <c r="A1436" s="15"/>
      <c r="B1436" s="13"/>
      <c r="C1436" s="13"/>
      <c r="D1436" s="13"/>
    </row>
    <row r="1437" spans="1:4" ht="12.75">
      <c r="A1437" s="15"/>
      <c r="B1437" s="13"/>
      <c r="C1437" s="13"/>
      <c r="D1437" s="13"/>
    </row>
    <row r="1438" spans="1:4" ht="12.75">
      <c r="A1438" s="15"/>
      <c r="B1438" s="13"/>
      <c r="C1438" s="13"/>
      <c r="D1438" s="13"/>
    </row>
    <row r="1439" spans="1:4" ht="12.75">
      <c r="A1439" s="15"/>
      <c r="B1439" s="13"/>
      <c r="C1439" s="13"/>
      <c r="D1439" s="13"/>
    </row>
    <row r="1440" spans="1:4" ht="12.75">
      <c r="A1440" s="15"/>
      <c r="B1440" s="13"/>
      <c r="C1440" s="13"/>
      <c r="D1440" s="13"/>
    </row>
    <row r="1441" spans="1:4" ht="12.75">
      <c r="A1441" s="15"/>
      <c r="B1441" s="13"/>
      <c r="C1441" s="13"/>
      <c r="D1441" s="13"/>
    </row>
    <row r="1442" spans="1:4" ht="12.75">
      <c r="A1442" s="15"/>
      <c r="B1442" s="13"/>
      <c r="C1442" s="13"/>
      <c r="D1442" s="13"/>
    </row>
    <row r="1443" spans="1:4" ht="12.75">
      <c r="A1443" s="15"/>
      <c r="B1443" s="13"/>
      <c r="C1443" s="13"/>
      <c r="D1443" s="13"/>
    </row>
    <row r="1444" spans="1:4" ht="12.75">
      <c r="A1444" s="15"/>
      <c r="B1444" s="13"/>
      <c r="C1444" s="13"/>
      <c r="D1444" s="13"/>
    </row>
    <row r="1445" spans="1:4" ht="12.75">
      <c r="A1445" s="15"/>
      <c r="B1445" s="13"/>
      <c r="C1445" s="13"/>
      <c r="D1445" s="13"/>
    </row>
    <row r="1446" spans="1:4" ht="12.75">
      <c r="A1446" s="15"/>
      <c r="B1446" s="13"/>
      <c r="C1446" s="13"/>
      <c r="D1446" s="13"/>
    </row>
    <row r="1447" spans="1:4" ht="12.75">
      <c r="A1447" s="15"/>
      <c r="B1447" s="13"/>
      <c r="C1447" s="13"/>
      <c r="D1447" s="13"/>
    </row>
    <row r="1448" spans="1:4" ht="12.75">
      <c r="A1448" s="15"/>
      <c r="B1448" s="13"/>
      <c r="C1448" s="13"/>
      <c r="D1448" s="13"/>
    </row>
    <row r="1449" spans="1:4" ht="12.75">
      <c r="A1449" s="15"/>
      <c r="B1449" s="13"/>
      <c r="C1449" s="13"/>
      <c r="D1449" s="13"/>
    </row>
    <row r="1450" spans="1:4" ht="12.75">
      <c r="A1450" s="15"/>
      <c r="B1450" s="13"/>
      <c r="C1450" s="13"/>
      <c r="D1450" s="13"/>
    </row>
    <row r="1451" spans="1:4" ht="12.75">
      <c r="A1451" s="15"/>
      <c r="B1451" s="13"/>
      <c r="C1451" s="13"/>
      <c r="D1451" s="13"/>
    </row>
    <row r="1452" spans="1:4" ht="12.75">
      <c r="A1452" s="15"/>
      <c r="B1452" s="13"/>
      <c r="C1452" s="13"/>
      <c r="D1452" s="13"/>
    </row>
    <row r="1453" spans="1:4" ht="12.75">
      <c r="A1453" s="15"/>
      <c r="B1453" s="13"/>
      <c r="C1453" s="13"/>
      <c r="D1453" s="13"/>
    </row>
    <row r="1454" spans="1:4" ht="12.75">
      <c r="A1454" s="15"/>
      <c r="B1454" s="13"/>
      <c r="C1454" s="13"/>
      <c r="D1454" s="13"/>
    </row>
    <row r="1455" spans="1:4" ht="12.75">
      <c r="A1455" s="15"/>
      <c r="B1455" s="13"/>
      <c r="C1455" s="13"/>
      <c r="D1455" s="13"/>
    </row>
    <row r="1456" spans="1:4" ht="12.75">
      <c r="A1456" s="15"/>
      <c r="B1456" s="13"/>
      <c r="C1456" s="13"/>
      <c r="D1456" s="13"/>
    </row>
    <row r="1457" spans="1:4" ht="12.75">
      <c r="A1457" s="15"/>
      <c r="B1457" s="13"/>
      <c r="C1457" s="13"/>
      <c r="D1457" s="13"/>
    </row>
    <row r="1458" spans="1:4" ht="12.75">
      <c r="A1458" s="15"/>
      <c r="B1458" s="13"/>
      <c r="C1458" s="13"/>
      <c r="D1458" s="13"/>
    </row>
    <row r="1459" spans="1:4" ht="12.75">
      <c r="A1459" s="15"/>
      <c r="B1459" s="13"/>
      <c r="C1459" s="13"/>
      <c r="D1459" s="13"/>
    </row>
    <row r="1460" spans="1:4" ht="12.75">
      <c r="A1460" s="15"/>
      <c r="B1460" s="13"/>
      <c r="C1460" s="13"/>
      <c r="D1460" s="13"/>
    </row>
    <row r="1461" spans="1:4" ht="12.75">
      <c r="A1461" s="15"/>
      <c r="B1461" s="13"/>
      <c r="C1461" s="13"/>
      <c r="D1461" s="13"/>
    </row>
    <row r="1462" spans="1:4" ht="12.75">
      <c r="A1462" s="15"/>
      <c r="B1462" s="13"/>
      <c r="C1462" s="13"/>
      <c r="D1462" s="13"/>
    </row>
    <row r="1463" spans="1:4" ht="12.75">
      <c r="A1463" s="15"/>
      <c r="B1463" s="13"/>
      <c r="C1463" s="13"/>
      <c r="D1463" s="13"/>
    </row>
    <row r="1464" spans="1:4" ht="12.75">
      <c r="A1464" s="15"/>
      <c r="B1464" s="13"/>
      <c r="C1464" s="13"/>
      <c r="D1464" s="13"/>
    </row>
    <row r="1465" spans="1:4" ht="12.75">
      <c r="A1465" s="15"/>
      <c r="B1465" s="13"/>
      <c r="C1465" s="13"/>
      <c r="D1465" s="13"/>
    </row>
    <row r="1466" spans="1:4" ht="12.75">
      <c r="A1466" s="15"/>
      <c r="B1466" s="13"/>
      <c r="C1466" s="13"/>
      <c r="D1466" s="13"/>
    </row>
    <row r="1467" spans="1:4" ht="12.75">
      <c r="A1467" s="15"/>
      <c r="B1467" s="13"/>
      <c r="C1467" s="13"/>
      <c r="D1467" s="13"/>
    </row>
    <row r="1468" spans="1:4" ht="12.75">
      <c r="A1468" s="15"/>
      <c r="B1468" s="13"/>
      <c r="C1468" s="13"/>
      <c r="D1468" s="13"/>
    </row>
    <row r="1469" spans="1:4" ht="12.75">
      <c r="A1469" s="15"/>
      <c r="B1469" s="13"/>
      <c r="C1469" s="13"/>
      <c r="D1469" s="13"/>
    </row>
    <row r="1470" spans="1:4" ht="12.75">
      <c r="A1470" s="15"/>
      <c r="B1470" s="13"/>
      <c r="C1470" s="13"/>
      <c r="D1470" s="13"/>
    </row>
    <row r="1471" spans="1:4" ht="12.75">
      <c r="A1471" s="15"/>
      <c r="B1471" s="13"/>
      <c r="C1471" s="13"/>
      <c r="D1471" s="13"/>
    </row>
    <row r="1472" spans="1:4" ht="12.75">
      <c r="A1472" s="15"/>
      <c r="B1472" s="13"/>
      <c r="C1472" s="13"/>
      <c r="D1472" s="13"/>
    </row>
    <row r="1473" spans="1:4" ht="12.75">
      <c r="A1473" s="15"/>
      <c r="B1473" s="13"/>
      <c r="C1473" s="13"/>
      <c r="D1473" s="13"/>
    </row>
    <row r="1474" spans="1:4" ht="12.75">
      <c r="A1474" s="15"/>
      <c r="B1474" s="13"/>
      <c r="C1474" s="13"/>
      <c r="D1474" s="13"/>
    </row>
    <row r="1475" spans="1:4" ht="12.75">
      <c r="A1475" s="15"/>
      <c r="B1475" s="13"/>
      <c r="C1475" s="13"/>
      <c r="D1475" s="13"/>
    </row>
    <row r="1476" spans="1:4" ht="12.75">
      <c r="A1476" s="15"/>
      <c r="B1476" s="13"/>
      <c r="C1476" s="13"/>
      <c r="D1476" s="13"/>
    </row>
    <row r="1477" spans="1:4" ht="12.75">
      <c r="A1477" s="15"/>
      <c r="B1477" s="13"/>
      <c r="C1477" s="13"/>
      <c r="D1477" s="13"/>
    </row>
    <row r="1478" spans="1:4" ht="12.75">
      <c r="A1478" s="15"/>
      <c r="B1478" s="13"/>
      <c r="C1478" s="13"/>
      <c r="D1478" s="13"/>
    </row>
    <row r="1479" spans="1:4" ht="12.75">
      <c r="A1479" s="15"/>
      <c r="B1479" s="13"/>
      <c r="C1479" s="13"/>
      <c r="D1479" s="13"/>
    </row>
    <row r="1480" spans="1:4" ht="12.75">
      <c r="A1480" s="15"/>
      <c r="B1480" s="13"/>
      <c r="C1480" s="13"/>
      <c r="D1480" s="13"/>
    </row>
    <row r="1481" spans="1:4" ht="12.75">
      <c r="A1481" s="15"/>
      <c r="B1481" s="13"/>
      <c r="C1481" s="13"/>
      <c r="D1481" s="13"/>
    </row>
    <row r="1482" spans="1:4" ht="12.75">
      <c r="A1482" s="15"/>
      <c r="B1482" s="13"/>
      <c r="C1482" s="13"/>
      <c r="D1482" s="13"/>
    </row>
    <row r="1483" spans="1:4" ht="12.75">
      <c r="A1483" s="15"/>
      <c r="B1483" s="13"/>
      <c r="C1483" s="13"/>
      <c r="D1483" s="13"/>
    </row>
    <row r="1484" spans="1:4" ht="12.75">
      <c r="A1484" s="15"/>
      <c r="B1484" s="13"/>
      <c r="C1484" s="13"/>
      <c r="D1484" s="13"/>
    </row>
    <row r="1485" spans="1:4" ht="12.75">
      <c r="A1485" s="15"/>
      <c r="B1485" s="13"/>
      <c r="C1485" s="13"/>
      <c r="D1485" s="13"/>
    </row>
    <row r="1486" spans="1:4" ht="12.75">
      <c r="A1486" s="15"/>
      <c r="B1486" s="13"/>
      <c r="C1486" s="13"/>
      <c r="D1486" s="13"/>
    </row>
    <row r="1487" spans="1:4" ht="12.75">
      <c r="A1487" s="15"/>
      <c r="B1487" s="13"/>
      <c r="C1487" s="13"/>
      <c r="D1487" s="13"/>
    </row>
    <row r="1488" spans="1:4" ht="12.75">
      <c r="A1488" s="15"/>
      <c r="B1488" s="13"/>
      <c r="C1488" s="13"/>
      <c r="D1488" s="13"/>
    </row>
    <row r="1489" spans="1:4" ht="12.75">
      <c r="A1489" s="15"/>
      <c r="B1489" s="13"/>
      <c r="C1489" s="13"/>
      <c r="D1489" s="13"/>
    </row>
    <row r="1490" spans="1:4" ht="12.75">
      <c r="A1490" s="15"/>
      <c r="B1490" s="13"/>
      <c r="C1490" s="13"/>
      <c r="D1490" s="13"/>
    </row>
    <row r="1491" spans="1:4" ht="12.75">
      <c r="A1491" s="15"/>
      <c r="B1491" s="13"/>
      <c r="C1491" s="13"/>
      <c r="D1491" s="13"/>
    </row>
    <row r="1492" spans="1:4" ht="12.75">
      <c r="A1492" s="15"/>
      <c r="B1492" s="13"/>
      <c r="C1492" s="13"/>
      <c r="D1492" s="13"/>
    </row>
    <row r="1493" spans="1:4" ht="12.75">
      <c r="A1493" s="15"/>
      <c r="B1493" s="13"/>
      <c r="C1493" s="13"/>
      <c r="D1493" s="13"/>
    </row>
    <row r="1494" spans="1:4" ht="12.75">
      <c r="A1494" s="15"/>
      <c r="B1494" s="13"/>
      <c r="C1494" s="13"/>
      <c r="D1494" s="13"/>
    </row>
    <row r="1495" spans="1:4" ht="12.75">
      <c r="A1495" s="15"/>
      <c r="B1495" s="13"/>
      <c r="C1495" s="13"/>
      <c r="D1495" s="13"/>
    </row>
    <row r="1496" spans="1:4" ht="12.75">
      <c r="A1496" s="15"/>
      <c r="B1496" s="13"/>
      <c r="C1496" s="13"/>
      <c r="D1496" s="13"/>
    </row>
    <row r="1497" spans="1:4" ht="12.75">
      <c r="A1497" s="15"/>
      <c r="B1497" s="13"/>
      <c r="C1497" s="13"/>
      <c r="D1497" s="13"/>
    </row>
    <row r="1498" spans="1:4" ht="12.75">
      <c r="A1498" s="15"/>
      <c r="B1498" s="13"/>
      <c r="C1498" s="13"/>
      <c r="D1498" s="13"/>
    </row>
    <row r="1499" spans="1:4" ht="12.75">
      <c r="A1499" s="15"/>
      <c r="B1499" s="13"/>
      <c r="C1499" s="13"/>
      <c r="D1499" s="13"/>
    </row>
    <row r="1500" spans="1:4" ht="12.75">
      <c r="A1500" s="15"/>
      <c r="B1500" s="13"/>
      <c r="C1500" s="13"/>
      <c r="D1500" s="13"/>
    </row>
    <row r="1501" spans="1:4" ht="12.75">
      <c r="A1501" s="15"/>
      <c r="B1501" s="13"/>
      <c r="C1501" s="13"/>
      <c r="D1501" s="13"/>
    </row>
    <row r="1502" spans="1:4" ht="12.75">
      <c r="A1502" s="15"/>
      <c r="B1502" s="13"/>
      <c r="C1502" s="13"/>
      <c r="D1502" s="13"/>
    </row>
    <row r="1503" spans="1:4" ht="12.75">
      <c r="A1503" s="15"/>
      <c r="B1503" s="13"/>
      <c r="C1503" s="13"/>
      <c r="D1503" s="13"/>
    </row>
    <row r="1504" spans="1:4" ht="12.75">
      <c r="A1504" s="15"/>
      <c r="B1504" s="13"/>
      <c r="C1504" s="13"/>
      <c r="D1504" s="13"/>
    </row>
    <row r="1505" spans="1:4" ht="12.75">
      <c r="A1505" s="15"/>
      <c r="B1505" s="13"/>
      <c r="C1505" s="13"/>
      <c r="D1505" s="13"/>
    </row>
    <row r="1506" spans="1:4" ht="12.75">
      <c r="A1506" s="15"/>
      <c r="B1506" s="13"/>
      <c r="C1506" s="13"/>
      <c r="D1506" s="13"/>
    </row>
    <row r="1507" spans="1:4" ht="12.75">
      <c r="A1507" s="15"/>
      <c r="B1507" s="13"/>
      <c r="C1507" s="13"/>
      <c r="D1507" s="13"/>
    </row>
    <row r="1508" spans="1:4" ht="12.75">
      <c r="A1508" s="15"/>
      <c r="B1508" s="13"/>
      <c r="C1508" s="13"/>
      <c r="D1508" s="13"/>
    </row>
    <row r="1509" spans="1:4" ht="12.75">
      <c r="A1509" s="15"/>
      <c r="B1509" s="13"/>
      <c r="C1509" s="13"/>
      <c r="D1509" s="13"/>
    </row>
    <row r="1510" spans="1:4" ht="12.75">
      <c r="A1510" s="15"/>
      <c r="B1510" s="13"/>
      <c r="C1510" s="13"/>
      <c r="D1510" s="13"/>
    </row>
    <row r="1511" spans="1:4" ht="12.75">
      <c r="A1511" s="15"/>
      <c r="B1511" s="13"/>
      <c r="C1511" s="13"/>
      <c r="D1511" s="13"/>
    </row>
    <row r="1512" spans="1:4" ht="12.75">
      <c r="A1512" s="15"/>
      <c r="B1512" s="13"/>
      <c r="C1512" s="13"/>
      <c r="D1512" s="13"/>
    </row>
    <row r="1513" spans="1:4" ht="12.75">
      <c r="A1513" s="15"/>
      <c r="B1513" s="13"/>
      <c r="C1513" s="13"/>
      <c r="D1513" s="13"/>
    </row>
    <row r="1514" spans="1:4" ht="12.75">
      <c r="A1514" s="15"/>
      <c r="B1514" s="13"/>
      <c r="C1514" s="13"/>
      <c r="D1514" s="13"/>
    </row>
    <row r="1515" spans="1:4" ht="12.75">
      <c r="A1515" s="15"/>
      <c r="B1515" s="13"/>
      <c r="C1515" s="13"/>
      <c r="D1515" s="13"/>
    </row>
    <row r="1516" spans="1:4" ht="12.75">
      <c r="A1516" s="15"/>
      <c r="B1516" s="13"/>
      <c r="C1516" s="13"/>
      <c r="D1516" s="13"/>
    </row>
    <row r="1517" spans="1:4" ht="12.75">
      <c r="A1517" s="15"/>
      <c r="B1517" s="13"/>
      <c r="C1517" s="13"/>
      <c r="D1517" s="13"/>
    </row>
    <row r="1518" spans="1:4" ht="12.75">
      <c r="A1518" s="15"/>
      <c r="B1518" s="13"/>
      <c r="C1518" s="13"/>
      <c r="D1518" s="13"/>
    </row>
    <row r="1519" spans="1:4" ht="12.75">
      <c r="A1519" s="15"/>
      <c r="B1519" s="13"/>
      <c r="C1519" s="13"/>
      <c r="D1519" s="13"/>
    </row>
    <row r="1520" spans="1:4" ht="12.75">
      <c r="A1520" s="15"/>
      <c r="B1520" s="13"/>
      <c r="C1520" s="13"/>
      <c r="D1520" s="13"/>
    </row>
    <row r="1521" spans="1:4" ht="12.75">
      <c r="A1521" s="15"/>
      <c r="B1521" s="13"/>
      <c r="C1521" s="13"/>
      <c r="D1521" s="13"/>
    </row>
    <row r="1522" spans="1:4" ht="12.75">
      <c r="A1522" s="15"/>
      <c r="B1522" s="13"/>
      <c r="C1522" s="13"/>
      <c r="D1522" s="13"/>
    </row>
    <row r="1523" spans="1:4" ht="12.75">
      <c r="A1523" s="15"/>
      <c r="B1523" s="13"/>
      <c r="C1523" s="13"/>
      <c r="D1523" s="13"/>
    </row>
    <row r="1524" spans="1:4" ht="12.75">
      <c r="A1524" s="15"/>
      <c r="B1524" s="13"/>
      <c r="C1524" s="13"/>
      <c r="D1524" s="13"/>
    </row>
    <row r="1525" spans="1:4" ht="12.75">
      <c r="A1525" s="15"/>
      <c r="B1525" s="13"/>
      <c r="C1525" s="13"/>
      <c r="D1525" s="13"/>
    </row>
    <row r="1526" spans="1:4" ht="12.75">
      <c r="A1526" s="15"/>
      <c r="B1526" s="13"/>
      <c r="C1526" s="13"/>
      <c r="D1526" s="13"/>
    </row>
    <row r="1527" spans="1:4" ht="12.75">
      <c r="A1527" s="15"/>
      <c r="B1527" s="13"/>
      <c r="C1527" s="13"/>
      <c r="D1527" s="13"/>
    </row>
    <row r="1528" spans="1:4" ht="12.75">
      <c r="A1528" s="15"/>
      <c r="B1528" s="13"/>
      <c r="C1528" s="13"/>
      <c r="D1528" s="13"/>
    </row>
    <row r="1529" spans="1:4" ht="12.75">
      <c r="A1529" s="15"/>
      <c r="B1529" s="13"/>
      <c r="C1529" s="13"/>
      <c r="D1529" s="13"/>
    </row>
    <row r="1530" spans="1:4" ht="12.75">
      <c r="A1530" s="15"/>
      <c r="B1530" s="13"/>
      <c r="C1530" s="13"/>
      <c r="D1530" s="13"/>
    </row>
    <row r="1531" spans="1:4" ht="12.75">
      <c r="A1531" s="15"/>
      <c r="B1531" s="13"/>
      <c r="C1531" s="13"/>
      <c r="D1531" s="13"/>
    </row>
    <row r="1532" spans="1:4" ht="12.75">
      <c r="A1532" s="15"/>
      <c r="B1532" s="13"/>
      <c r="C1532" s="13"/>
      <c r="D1532" s="13"/>
    </row>
    <row r="1533" spans="1:4" ht="12.75">
      <c r="A1533" s="15"/>
      <c r="B1533" s="13"/>
      <c r="C1533" s="13"/>
      <c r="D1533" s="13"/>
    </row>
    <row r="1534" spans="1:4" ht="12.75">
      <c r="A1534" s="15"/>
      <c r="B1534" s="13"/>
      <c r="C1534" s="13"/>
      <c r="D1534" s="13"/>
    </row>
    <row r="1535" spans="1:4" ht="12.75">
      <c r="A1535" s="15"/>
      <c r="B1535" s="13"/>
      <c r="C1535" s="13"/>
      <c r="D1535" s="13"/>
    </row>
    <row r="1536" spans="1:4" ht="12.75">
      <c r="A1536" s="15"/>
      <c r="B1536" s="13"/>
      <c r="C1536" s="13"/>
      <c r="D1536" s="13"/>
    </row>
    <row r="1537" spans="1:4" ht="12.75">
      <c r="A1537" s="15"/>
      <c r="B1537" s="13"/>
      <c r="C1537" s="13"/>
      <c r="D1537" s="13"/>
    </row>
    <row r="1538" spans="1:4" ht="12.75">
      <c r="A1538" s="15"/>
      <c r="B1538" s="13"/>
      <c r="C1538" s="13"/>
      <c r="D1538" s="13"/>
    </row>
    <row r="1539" spans="1:4" ht="12.75">
      <c r="A1539" s="15"/>
      <c r="B1539" s="13"/>
      <c r="C1539" s="13"/>
      <c r="D1539" s="13"/>
    </row>
    <row r="1540" spans="1:4" ht="12.75">
      <c r="A1540" s="15"/>
      <c r="B1540" s="13"/>
      <c r="C1540" s="13"/>
      <c r="D1540" s="13"/>
    </row>
    <row r="1541" spans="1:4" ht="12.75">
      <c r="A1541" s="15"/>
      <c r="B1541" s="13"/>
      <c r="C1541" s="13"/>
      <c r="D1541" s="13"/>
    </row>
    <row r="1542" spans="1:4" ht="12.75">
      <c r="A1542" s="15"/>
      <c r="B1542" s="13"/>
      <c r="C1542" s="13"/>
      <c r="D1542" s="13"/>
    </row>
    <row r="1543" spans="1:4" ht="12.75">
      <c r="A1543" s="15"/>
      <c r="B1543" s="13"/>
      <c r="C1543" s="13"/>
      <c r="D1543" s="13"/>
    </row>
    <row r="1544" spans="1:4" ht="12.75">
      <c r="A1544" s="15"/>
      <c r="B1544" s="13"/>
      <c r="C1544" s="13"/>
      <c r="D1544" s="13"/>
    </row>
    <row r="1545" spans="1:4" ht="12.75">
      <c r="A1545" s="15"/>
      <c r="B1545" s="13"/>
      <c r="C1545" s="13"/>
      <c r="D1545" s="13"/>
    </row>
    <row r="1546" spans="1:4" ht="12.75">
      <c r="A1546" s="15"/>
      <c r="B1546" s="13"/>
      <c r="C1546" s="13"/>
      <c r="D1546" s="13"/>
    </row>
    <row r="1547" spans="1:4" ht="12.75">
      <c r="A1547" s="15"/>
      <c r="B1547" s="13"/>
      <c r="C1547" s="13"/>
      <c r="D1547" s="13"/>
    </row>
    <row r="1548" spans="1:4" ht="12.75">
      <c r="A1548" s="15"/>
      <c r="B1548" s="13"/>
      <c r="C1548" s="13"/>
      <c r="D1548" s="13"/>
    </row>
    <row r="1549" spans="1:4" ht="12.75">
      <c r="A1549" s="15"/>
      <c r="B1549" s="13"/>
      <c r="C1549" s="13"/>
      <c r="D1549" s="13"/>
    </row>
    <row r="1550" spans="1:4" ht="12.75">
      <c r="A1550" s="15"/>
      <c r="B1550" s="13"/>
      <c r="C1550" s="13"/>
      <c r="D1550" s="13"/>
    </row>
    <row r="1551" spans="1:4" ht="12.75">
      <c r="A1551" s="15"/>
      <c r="B1551" s="13"/>
      <c r="C1551" s="13"/>
      <c r="D1551" s="13"/>
    </row>
    <row r="1552" spans="1:4" ht="12.75">
      <c r="A1552" s="15"/>
      <c r="B1552" s="13"/>
      <c r="C1552" s="13"/>
      <c r="D1552" s="13"/>
    </row>
    <row r="1553" spans="1:4" ht="12.75">
      <c r="A1553" s="15"/>
      <c r="B1553" s="13"/>
      <c r="C1553" s="13"/>
      <c r="D1553" s="13"/>
    </row>
    <row r="1554" spans="1:4" ht="12.75">
      <c r="A1554" s="15"/>
      <c r="B1554" s="13"/>
      <c r="C1554" s="13"/>
      <c r="D1554" s="13"/>
    </row>
    <row r="1555" spans="1:4" ht="12.75">
      <c r="A1555" s="15"/>
      <c r="B1555" s="13"/>
      <c r="C1555" s="13"/>
      <c r="D1555" s="13"/>
    </row>
    <row r="1556" spans="1:4" ht="12.75">
      <c r="A1556" s="15"/>
      <c r="B1556" s="13"/>
      <c r="C1556" s="13"/>
      <c r="D1556" s="13"/>
    </row>
    <row r="1557" spans="1:4" ht="12.75">
      <c r="A1557" s="15"/>
      <c r="B1557" s="13"/>
      <c r="C1557" s="13"/>
      <c r="D1557" s="13"/>
    </row>
    <row r="1558" spans="1:4" ht="12.75">
      <c r="A1558" s="15"/>
      <c r="B1558" s="13"/>
      <c r="C1558" s="13"/>
      <c r="D1558" s="13"/>
    </row>
    <row r="1559" spans="1:4" ht="12.75">
      <c r="A1559" s="15"/>
      <c r="B1559" s="13"/>
      <c r="C1559" s="13"/>
      <c r="D1559" s="13"/>
    </row>
    <row r="1560" spans="1:4" ht="12.75">
      <c r="A1560" s="15"/>
      <c r="B1560" s="13"/>
      <c r="C1560" s="13"/>
      <c r="D1560" s="13"/>
    </row>
    <row r="1561" spans="1:4" ht="12.75">
      <c r="A1561" s="15"/>
      <c r="B1561" s="13"/>
      <c r="C1561" s="13"/>
      <c r="D1561" s="13"/>
    </row>
    <row r="1562" spans="1:4" ht="12.75">
      <c r="A1562" s="15"/>
      <c r="B1562" s="13"/>
      <c r="C1562" s="13"/>
      <c r="D1562" s="13"/>
    </row>
    <row r="1563" spans="1:4" ht="12.75">
      <c r="A1563" s="15"/>
      <c r="B1563" s="13"/>
      <c r="C1563" s="13"/>
      <c r="D1563" s="13"/>
    </row>
    <row r="1564" spans="1:4" ht="12.75">
      <c r="A1564" s="15"/>
      <c r="B1564" s="13"/>
      <c r="C1564" s="13"/>
      <c r="D1564" s="13"/>
    </row>
    <row r="1565" spans="1:4" ht="12.75">
      <c r="A1565" s="15"/>
      <c r="B1565" s="13"/>
      <c r="C1565" s="13"/>
      <c r="D1565" s="13"/>
    </row>
    <row r="1566" spans="1:4" ht="12.75">
      <c r="A1566" s="15"/>
      <c r="B1566" s="13"/>
      <c r="C1566" s="13"/>
      <c r="D1566" s="13"/>
    </row>
    <row r="1567" spans="1:4" ht="12.75">
      <c r="A1567" s="15"/>
      <c r="B1567" s="13"/>
      <c r="C1567" s="13"/>
      <c r="D1567" s="13"/>
    </row>
    <row r="1568" spans="1:4" ht="12.75">
      <c r="A1568" s="15"/>
      <c r="B1568" s="13"/>
      <c r="C1568" s="13"/>
      <c r="D1568" s="13"/>
    </row>
    <row r="1569" spans="1:4" ht="12.75">
      <c r="A1569" s="15"/>
      <c r="B1569" s="13"/>
      <c r="C1569" s="13"/>
      <c r="D1569" s="13"/>
    </row>
    <row r="1570" spans="1:4" ht="12.75">
      <c r="A1570" s="15"/>
      <c r="B1570" s="13"/>
      <c r="C1570" s="13"/>
      <c r="D1570" s="13"/>
    </row>
    <row r="1571" spans="1:4" ht="12.75">
      <c r="A1571" s="15"/>
      <c r="B1571" s="13"/>
      <c r="C1571" s="13"/>
      <c r="D1571" s="13"/>
    </row>
    <row r="1572" spans="1:4" ht="12.75">
      <c r="A1572" s="15"/>
      <c r="B1572" s="13"/>
      <c r="C1572" s="13"/>
      <c r="D1572" s="13"/>
    </row>
    <row r="1573" spans="1:4" ht="12.75">
      <c r="A1573" s="15"/>
      <c r="B1573" s="13"/>
      <c r="C1573" s="13"/>
      <c r="D1573" s="13"/>
    </row>
    <row r="1574" spans="1:4" ht="12.75">
      <c r="A1574" s="15"/>
      <c r="B1574" s="13"/>
      <c r="C1574" s="13"/>
      <c r="D1574" s="13"/>
    </row>
    <row r="1575" spans="1:4" ht="12.75">
      <c r="A1575" s="15"/>
      <c r="B1575" s="13"/>
      <c r="C1575" s="13"/>
      <c r="D1575" s="13"/>
    </row>
    <row r="1576" spans="1:4" ht="12.75">
      <c r="A1576" s="15"/>
      <c r="B1576" s="13"/>
      <c r="C1576" s="13"/>
      <c r="D1576" s="13"/>
    </row>
    <row r="1577" spans="1:4" ht="12.75">
      <c r="A1577" s="15"/>
      <c r="B1577" s="13"/>
      <c r="C1577" s="13"/>
      <c r="D1577" s="13"/>
    </row>
    <row r="1578" spans="1:4" ht="12.75">
      <c r="A1578" s="15"/>
      <c r="B1578" s="13"/>
      <c r="C1578" s="13"/>
      <c r="D1578" s="13"/>
    </row>
    <row r="1579" spans="1:4" ht="12.75">
      <c r="A1579" s="15"/>
      <c r="B1579" s="13"/>
      <c r="C1579" s="13"/>
      <c r="D1579" s="13"/>
    </row>
    <row r="1580" spans="1:4" ht="12.75">
      <c r="A1580" s="15"/>
      <c r="B1580" s="13"/>
      <c r="C1580" s="13"/>
      <c r="D1580" s="13"/>
    </row>
    <row r="1581" spans="1:4" ht="12.75">
      <c r="A1581" s="15"/>
      <c r="B1581" s="13"/>
      <c r="C1581" s="13"/>
      <c r="D1581" s="13"/>
    </row>
    <row r="1582" spans="1:4" ht="12.75">
      <c r="A1582" s="15"/>
      <c r="B1582" s="13"/>
      <c r="C1582" s="13"/>
      <c r="D1582" s="13"/>
    </row>
    <row r="1583" spans="1:4" ht="12.75">
      <c r="A1583" s="15"/>
      <c r="B1583" s="13"/>
      <c r="C1583" s="13"/>
      <c r="D1583" s="13"/>
    </row>
    <row r="1584" spans="1:4" ht="12.75">
      <c r="A1584" s="15"/>
      <c r="B1584" s="13"/>
      <c r="C1584" s="13"/>
      <c r="D1584" s="13"/>
    </row>
    <row r="1585" spans="1:4" ht="12.75">
      <c r="A1585" s="15"/>
      <c r="B1585" s="13"/>
      <c r="C1585" s="13"/>
      <c r="D1585" s="13"/>
    </row>
    <row r="1586" spans="1:4" ht="12.75">
      <c r="A1586" s="15"/>
      <c r="B1586" s="13"/>
      <c r="C1586" s="13"/>
      <c r="D1586" s="13"/>
    </row>
    <row r="1587" spans="1:4" ht="12.75">
      <c r="A1587" s="15"/>
      <c r="B1587" s="13"/>
      <c r="C1587" s="13"/>
      <c r="D1587" s="13"/>
    </row>
    <row r="1588" spans="1:4" ht="12.75">
      <c r="A1588" s="15"/>
      <c r="B1588" s="13"/>
      <c r="C1588" s="13"/>
      <c r="D1588" s="13"/>
    </row>
    <row r="1589" spans="1:4" ht="12.75">
      <c r="A1589" s="15"/>
      <c r="B1589" s="13"/>
      <c r="C1589" s="13"/>
      <c r="D1589" s="13"/>
    </row>
    <row r="1590" spans="1:4" ht="12.75">
      <c r="A1590" s="15"/>
      <c r="B1590" s="13"/>
      <c r="C1590" s="13"/>
      <c r="D1590" s="13"/>
    </row>
    <row r="1591" spans="1:4" ht="12.75">
      <c r="A1591" s="15"/>
      <c r="B1591" s="13"/>
      <c r="C1591" s="13"/>
      <c r="D1591" s="13"/>
    </row>
    <row r="1592" spans="1:4" ht="12.75">
      <c r="A1592" s="15"/>
      <c r="B1592" s="13"/>
      <c r="C1592" s="13"/>
      <c r="D1592" s="13"/>
    </row>
    <row r="1593" spans="1:4" ht="12.75">
      <c r="A1593" s="15"/>
      <c r="B1593" s="13"/>
      <c r="C1593" s="13"/>
      <c r="D1593" s="13"/>
    </row>
    <row r="1594" spans="1:4" ht="12.75">
      <c r="A1594" s="15"/>
      <c r="B1594" s="13"/>
      <c r="C1594" s="13"/>
      <c r="D1594" s="13"/>
    </row>
    <row r="1595" spans="1:4" ht="12.75">
      <c r="A1595" s="15"/>
      <c r="B1595" s="13"/>
      <c r="C1595" s="13"/>
      <c r="D1595" s="13"/>
    </row>
    <row r="1596" spans="1:4" ht="12.75">
      <c r="A1596" s="15"/>
      <c r="B1596" s="13"/>
      <c r="C1596" s="13"/>
      <c r="D1596" s="13"/>
    </row>
    <row r="1597" spans="1:4" ht="12.75">
      <c r="A1597" s="15"/>
      <c r="B1597" s="13"/>
      <c r="C1597" s="13"/>
      <c r="D1597" s="13"/>
    </row>
    <row r="1598" spans="1:4" ht="12.75">
      <c r="A1598" s="15"/>
      <c r="B1598" s="13"/>
      <c r="C1598" s="13"/>
      <c r="D1598" s="13"/>
    </row>
    <row r="1599" spans="1:4" ht="12.75">
      <c r="A1599" s="15"/>
      <c r="B1599" s="13"/>
      <c r="C1599" s="13"/>
      <c r="D1599" s="13"/>
    </row>
    <row r="1600" spans="1:4" ht="12.75">
      <c r="A1600" s="15"/>
      <c r="B1600" s="13"/>
      <c r="C1600" s="13"/>
      <c r="D1600" s="13"/>
    </row>
    <row r="1601" spans="1:4" ht="12.75">
      <c r="A1601" s="15"/>
      <c r="B1601" s="13"/>
      <c r="C1601" s="13"/>
      <c r="D1601" s="13"/>
    </row>
    <row r="1602" spans="1:4" ht="12.75">
      <c r="A1602" s="15"/>
      <c r="B1602" s="13"/>
      <c r="C1602" s="13"/>
      <c r="D1602" s="13"/>
    </row>
    <row r="1603" spans="1:4" ht="12.75">
      <c r="A1603" s="15"/>
      <c r="B1603" s="13"/>
      <c r="C1603" s="13"/>
      <c r="D1603" s="13"/>
    </row>
    <row r="1604" spans="1:4" ht="12.75">
      <c r="A1604" s="15"/>
      <c r="B1604" s="13"/>
      <c r="C1604" s="13"/>
      <c r="D1604" s="13"/>
    </row>
    <row r="1605" spans="1:4" ht="12.75">
      <c r="A1605" s="15"/>
      <c r="B1605" s="13"/>
      <c r="C1605" s="13"/>
      <c r="D1605" s="13"/>
    </row>
    <row r="1606" spans="1:4" ht="12.75">
      <c r="A1606" s="15"/>
      <c r="B1606" s="13"/>
      <c r="C1606" s="13"/>
      <c r="D1606" s="13"/>
    </row>
    <row r="1607" spans="1:4" ht="12.75">
      <c r="A1607" s="15"/>
      <c r="B1607" s="13"/>
      <c r="C1607" s="13"/>
      <c r="D1607" s="13"/>
    </row>
    <row r="1608" spans="1:4" ht="12.75">
      <c r="A1608" s="15"/>
      <c r="B1608" s="13"/>
      <c r="C1608" s="13"/>
      <c r="D1608" s="13"/>
    </row>
    <row r="1609" spans="1:4" ht="12.75">
      <c r="A1609" s="15"/>
      <c r="B1609" s="13"/>
      <c r="C1609" s="13"/>
      <c r="D1609" s="13"/>
    </row>
    <row r="1610" spans="1:4" ht="12.75">
      <c r="A1610" s="15"/>
      <c r="B1610" s="13"/>
      <c r="C1610" s="13"/>
      <c r="D1610" s="13"/>
    </row>
    <row r="1611" spans="1:4" ht="12.75">
      <c r="A1611" s="15"/>
      <c r="B1611" s="13"/>
      <c r="C1611" s="13"/>
      <c r="D1611" s="13"/>
    </row>
    <row r="1612" spans="1:4" ht="12.75">
      <c r="A1612" s="15"/>
      <c r="B1612" s="13"/>
      <c r="C1612" s="13"/>
      <c r="D1612" s="13"/>
    </row>
    <row r="1613" spans="1:4" ht="12.75">
      <c r="A1613" s="15"/>
      <c r="B1613" s="13"/>
      <c r="C1613" s="13"/>
      <c r="D1613" s="13"/>
    </row>
    <row r="1614" spans="1:4" ht="12.75">
      <c r="A1614" s="15"/>
      <c r="B1614" s="13"/>
      <c r="C1614" s="13"/>
      <c r="D1614" s="13"/>
    </row>
    <row r="1615" spans="1:4" ht="12.75">
      <c r="A1615" s="15"/>
      <c r="B1615" s="13"/>
      <c r="C1615" s="13"/>
      <c r="D1615" s="13"/>
    </row>
    <row r="1616" spans="1:4" ht="12.75">
      <c r="A1616" s="15"/>
      <c r="B1616" s="13"/>
      <c r="C1616" s="13"/>
      <c r="D1616" s="13"/>
    </row>
    <row r="1617" spans="1:4" ht="12.75">
      <c r="A1617" s="15"/>
      <c r="B1617" s="13"/>
      <c r="C1617" s="13"/>
      <c r="D1617" s="13"/>
    </row>
    <row r="1618" spans="1:4" ht="12.75">
      <c r="A1618" s="15"/>
      <c r="B1618" s="13"/>
      <c r="C1618" s="13"/>
      <c r="D1618" s="13"/>
    </row>
    <row r="1619" spans="1:4" ht="12.75">
      <c r="A1619" s="15"/>
      <c r="B1619" s="13"/>
      <c r="C1619" s="13"/>
      <c r="D1619" s="13"/>
    </row>
    <row r="1620" spans="1:4" ht="12.75">
      <c r="A1620" s="15"/>
      <c r="B1620" s="13"/>
      <c r="C1620" s="13"/>
      <c r="D1620" s="13"/>
    </row>
    <row r="1621" spans="1:4" ht="12.75">
      <c r="A1621" s="15"/>
      <c r="B1621" s="13"/>
      <c r="C1621" s="13"/>
      <c r="D1621" s="13"/>
    </row>
    <row r="1622" spans="1:4" ht="12.75">
      <c r="A1622" s="15"/>
      <c r="B1622" s="13"/>
      <c r="C1622" s="13"/>
      <c r="D1622" s="13"/>
    </row>
    <row r="1623" spans="1:4" ht="12.75">
      <c r="A1623" s="15"/>
      <c r="B1623" s="13"/>
      <c r="C1623" s="13"/>
      <c r="D1623" s="13"/>
    </row>
    <row r="1624" spans="1:4" ht="12.75">
      <c r="A1624" s="15"/>
      <c r="B1624" s="13"/>
      <c r="C1624" s="13"/>
      <c r="D1624" s="13"/>
    </row>
    <row r="1625" spans="1:4" ht="12.75">
      <c r="A1625" s="15"/>
      <c r="B1625" s="13"/>
      <c r="C1625" s="13"/>
      <c r="D1625" s="13"/>
    </row>
    <row r="1626" spans="1:4" ht="12.75">
      <c r="A1626" s="15"/>
      <c r="B1626" s="13"/>
      <c r="C1626" s="13"/>
      <c r="D1626" s="13"/>
    </row>
    <row r="1627" spans="1:4" ht="12.75">
      <c r="A1627" s="15"/>
      <c r="B1627" s="13"/>
      <c r="C1627" s="13"/>
      <c r="D1627" s="13"/>
    </row>
    <row r="1628" spans="1:4" ht="12.75">
      <c r="A1628" s="15"/>
      <c r="B1628" s="13"/>
      <c r="C1628" s="13"/>
      <c r="D1628" s="13"/>
    </row>
    <row r="1629" spans="1:4" ht="12.75">
      <c r="A1629" s="15"/>
      <c r="B1629" s="13"/>
      <c r="C1629" s="13"/>
      <c r="D1629" s="13"/>
    </row>
    <row r="1630" spans="1:4" ht="12.75">
      <c r="A1630" s="15"/>
      <c r="B1630" s="13"/>
      <c r="C1630" s="13"/>
      <c r="D1630" s="13"/>
    </row>
    <row r="1631" spans="1:4" ht="12.75">
      <c r="A1631" s="15"/>
      <c r="B1631" s="13"/>
      <c r="C1631" s="13"/>
      <c r="D1631" s="13"/>
    </row>
    <row r="1632" spans="1:4" ht="12.75">
      <c r="A1632" s="15"/>
      <c r="B1632" s="13"/>
      <c r="C1632" s="13"/>
      <c r="D1632" s="13"/>
    </row>
    <row r="1633" spans="1:4" ht="12.75">
      <c r="A1633" s="15"/>
      <c r="B1633" s="13"/>
      <c r="C1633" s="13"/>
      <c r="D1633" s="13"/>
    </row>
    <row r="1634" spans="1:4" ht="12.75">
      <c r="A1634" s="15"/>
      <c r="B1634" s="13"/>
      <c r="C1634" s="13"/>
      <c r="D1634" s="13"/>
    </row>
    <row r="1635" spans="1:4" ht="12.75">
      <c r="A1635" s="15"/>
      <c r="B1635" s="13"/>
      <c r="C1635" s="13"/>
      <c r="D1635" s="13"/>
    </row>
    <row r="1636" spans="1:4" ht="12.75">
      <c r="A1636" s="15"/>
      <c r="B1636" s="13"/>
      <c r="C1636" s="13"/>
      <c r="D1636" s="13"/>
    </row>
    <row r="1637" spans="1:4" ht="12.75">
      <c r="A1637" s="15"/>
      <c r="B1637" s="13"/>
      <c r="C1637" s="13"/>
      <c r="D1637" s="13"/>
    </row>
    <row r="1638" spans="1:4" ht="12.75">
      <c r="A1638" s="15"/>
      <c r="B1638" s="13"/>
      <c r="C1638" s="13"/>
      <c r="D1638" s="13"/>
    </row>
    <row r="1639" spans="1:4" ht="12.75">
      <c r="A1639" s="15"/>
      <c r="B1639" s="13"/>
      <c r="C1639" s="13"/>
      <c r="D1639" s="13"/>
    </row>
    <row r="1640" spans="1:4" ht="12.75">
      <c r="A1640" s="15"/>
      <c r="B1640" s="13"/>
      <c r="C1640" s="13"/>
      <c r="D1640" s="13"/>
    </row>
    <row r="1641" spans="1:4" ht="12.75">
      <c r="A1641" s="15"/>
      <c r="B1641" s="13"/>
      <c r="C1641" s="13"/>
      <c r="D1641" s="13"/>
    </row>
    <row r="1642" spans="1:4" ht="12.75">
      <c r="A1642" s="15"/>
      <c r="B1642" s="13"/>
      <c r="C1642" s="13"/>
      <c r="D1642" s="13"/>
    </row>
    <row r="1643" spans="1:4" ht="12.75">
      <c r="A1643" s="15"/>
      <c r="B1643" s="13"/>
      <c r="C1643" s="13"/>
      <c r="D1643" s="13"/>
    </row>
    <row r="1644" spans="1:4" ht="12.75">
      <c r="A1644" s="15"/>
      <c r="B1644" s="13"/>
      <c r="C1644" s="13"/>
      <c r="D1644" s="13"/>
    </row>
    <row r="1645" spans="1:4" ht="12.75">
      <c r="A1645" s="15"/>
      <c r="B1645" s="13"/>
      <c r="C1645" s="13"/>
      <c r="D1645" s="13"/>
    </row>
    <row r="1646" spans="1:4" ht="12.75">
      <c r="A1646" s="15"/>
      <c r="B1646" s="13"/>
      <c r="C1646" s="13"/>
      <c r="D1646" s="13"/>
    </row>
    <row r="1647" spans="1:4" ht="12.75">
      <c r="A1647" s="15"/>
      <c r="B1647" s="13"/>
      <c r="C1647" s="13"/>
      <c r="D1647" s="13"/>
    </row>
    <row r="1648" spans="1:4" ht="12.75">
      <c r="A1648" s="15"/>
      <c r="B1648" s="13"/>
      <c r="C1648" s="13"/>
      <c r="D1648" s="13"/>
    </row>
    <row r="1649" spans="1:4" ht="12.75">
      <c r="A1649" s="15"/>
      <c r="B1649" s="13"/>
      <c r="C1649" s="13"/>
      <c r="D1649" s="13"/>
    </row>
    <row r="1650" spans="1:4" ht="12.75">
      <c r="A1650" s="15"/>
      <c r="B1650" s="13"/>
      <c r="C1650" s="13"/>
      <c r="D1650" s="13"/>
    </row>
    <row r="1651" spans="1:4" ht="12.75">
      <c r="A1651" s="15"/>
      <c r="B1651" s="13"/>
      <c r="C1651" s="13"/>
      <c r="D1651" s="13"/>
    </row>
    <row r="1652" spans="1:4" ht="12.75">
      <c r="A1652" s="15"/>
      <c r="B1652" s="13"/>
      <c r="C1652" s="13"/>
      <c r="D1652" s="13"/>
    </row>
    <row r="1653" spans="1:4" ht="12.75">
      <c r="A1653" s="15"/>
      <c r="B1653" s="13"/>
      <c r="C1653" s="13"/>
      <c r="D1653" s="13"/>
    </row>
    <row r="1654" spans="1:4" ht="12.75">
      <c r="A1654" s="15"/>
      <c r="B1654" s="13"/>
      <c r="C1654" s="13"/>
      <c r="D1654" s="13"/>
    </row>
    <row r="1655" spans="1:4" ht="12.75">
      <c r="A1655" s="15"/>
      <c r="B1655" s="13"/>
      <c r="C1655" s="13"/>
      <c r="D1655" s="13"/>
    </row>
    <row r="1656" spans="1:4" ht="12.75">
      <c r="A1656" s="15"/>
      <c r="B1656" s="13"/>
      <c r="C1656" s="13"/>
      <c r="D1656" s="13"/>
    </row>
    <row r="1657" spans="1:4" ht="12.75">
      <c r="A1657" s="15"/>
      <c r="B1657" s="13"/>
      <c r="C1657" s="13"/>
      <c r="D1657" s="13"/>
    </row>
    <row r="1658" spans="1:4" ht="12.75">
      <c r="A1658" s="15"/>
      <c r="B1658" s="13"/>
      <c r="C1658" s="13"/>
      <c r="D1658" s="13"/>
    </row>
    <row r="1659" spans="1:4" ht="12.75">
      <c r="A1659" s="15"/>
      <c r="B1659" s="13"/>
      <c r="C1659" s="13"/>
      <c r="D1659" s="13"/>
    </row>
    <row r="1660" spans="1:4" ht="12.75">
      <c r="A1660" s="15"/>
      <c r="B1660" s="13"/>
      <c r="C1660" s="13"/>
      <c r="D1660" s="13"/>
    </row>
    <row r="1661" spans="1:4" ht="12.75">
      <c r="A1661" s="15"/>
      <c r="B1661" s="13"/>
      <c r="C1661" s="13"/>
      <c r="D1661" s="13"/>
    </row>
    <row r="1662" spans="1:4" ht="12.75">
      <c r="A1662" s="15"/>
      <c r="B1662" s="13"/>
      <c r="C1662" s="13"/>
      <c r="D1662" s="13"/>
    </row>
    <row r="1663" spans="1:4" ht="12.75">
      <c r="A1663" s="15"/>
      <c r="B1663" s="13"/>
      <c r="C1663" s="13"/>
      <c r="D1663" s="13"/>
    </row>
    <row r="1664" spans="1:4" ht="12.75">
      <c r="A1664" s="15"/>
      <c r="B1664" s="13"/>
      <c r="C1664" s="13"/>
      <c r="D1664" s="13"/>
    </row>
    <row r="1665" spans="1:4" ht="12.75">
      <c r="A1665" s="15"/>
      <c r="B1665" s="13"/>
      <c r="C1665" s="13"/>
      <c r="D1665" s="13"/>
    </row>
    <row r="1666" spans="1:4" ht="12.75">
      <c r="A1666" s="15"/>
      <c r="B1666" s="13"/>
      <c r="C1666" s="13"/>
      <c r="D1666" s="13"/>
    </row>
    <row r="1667" spans="1:4" ht="12.75">
      <c r="A1667" s="15"/>
      <c r="B1667" s="13"/>
      <c r="C1667" s="13"/>
      <c r="D1667" s="13"/>
    </row>
    <row r="1668" spans="1:4" ht="12.75">
      <c r="A1668" s="15"/>
      <c r="B1668" s="13"/>
      <c r="C1668" s="13"/>
      <c r="D1668" s="13"/>
    </row>
    <row r="1669" spans="1:4" ht="12.75">
      <c r="A1669" s="15"/>
      <c r="B1669" s="13"/>
      <c r="C1669" s="13"/>
      <c r="D1669" s="13"/>
    </row>
    <row r="1670" spans="1:4" ht="12.75">
      <c r="A1670" s="15"/>
      <c r="B1670" s="13"/>
      <c r="C1670" s="13"/>
      <c r="D1670" s="13"/>
    </row>
    <row r="1671" spans="1:4" ht="12.75">
      <c r="A1671" s="15"/>
      <c r="B1671" s="13"/>
      <c r="C1671" s="13"/>
      <c r="D1671" s="13"/>
    </row>
    <row r="1672" spans="1:4" ht="12.75">
      <c r="A1672" s="15"/>
      <c r="B1672" s="13"/>
      <c r="C1672" s="13"/>
      <c r="D1672" s="13"/>
    </row>
    <row r="1673" spans="1:4" ht="12.75">
      <c r="A1673" s="15"/>
      <c r="B1673" s="13"/>
      <c r="C1673" s="13"/>
      <c r="D1673" s="13"/>
    </row>
    <row r="1674" spans="1:4" ht="12.75">
      <c r="A1674" s="15"/>
      <c r="B1674" s="13"/>
      <c r="C1674" s="13"/>
      <c r="D1674" s="13"/>
    </row>
    <row r="1675" spans="1:4" ht="12.75">
      <c r="A1675" s="15"/>
      <c r="B1675" s="13"/>
      <c r="C1675" s="13"/>
      <c r="D1675" s="13"/>
    </row>
    <row r="1676" spans="1:4" ht="12.75">
      <c r="A1676" s="15"/>
      <c r="B1676" s="13"/>
      <c r="C1676" s="13"/>
      <c r="D1676" s="13"/>
    </row>
    <row r="1677" spans="1:4" ht="12.75">
      <c r="A1677" s="15"/>
      <c r="B1677" s="13"/>
      <c r="C1677" s="13"/>
      <c r="D1677" s="13"/>
    </row>
    <row r="1678" spans="1:4" ht="12.75">
      <c r="A1678" s="15"/>
      <c r="B1678" s="13"/>
      <c r="C1678" s="13"/>
      <c r="D1678" s="13"/>
    </row>
    <row r="1679" spans="1:4" ht="12.75">
      <c r="A1679" s="15"/>
      <c r="B1679" s="13"/>
      <c r="C1679" s="13"/>
      <c r="D1679" s="13"/>
    </row>
    <row r="1680" spans="1:4" ht="12.75">
      <c r="A1680" s="15"/>
      <c r="B1680" s="13"/>
      <c r="C1680" s="13"/>
      <c r="D1680" s="13"/>
    </row>
    <row r="1681" spans="1:4" ht="12.75">
      <c r="A1681" s="15"/>
      <c r="B1681" s="13"/>
      <c r="C1681" s="13"/>
      <c r="D1681" s="13"/>
    </row>
    <row r="1682" spans="1:4" ht="12.75">
      <c r="A1682" s="15"/>
      <c r="B1682" s="13"/>
      <c r="C1682" s="13"/>
      <c r="D1682" s="13"/>
    </row>
    <row r="1683" spans="1:4" ht="12.75">
      <c r="A1683" s="15"/>
      <c r="B1683" s="13"/>
      <c r="C1683" s="13"/>
      <c r="D1683" s="13"/>
    </row>
    <row r="1684" spans="1:4" ht="12.75">
      <c r="A1684" s="15"/>
      <c r="B1684" s="13"/>
      <c r="C1684" s="13"/>
      <c r="D1684" s="13"/>
    </row>
    <row r="1685" spans="1:4" ht="12.75">
      <c r="A1685" s="15"/>
      <c r="B1685" s="13"/>
      <c r="C1685" s="13"/>
      <c r="D1685" s="13"/>
    </row>
    <row r="1686" spans="1:4" ht="12.75">
      <c r="A1686" s="15"/>
      <c r="B1686" s="13"/>
      <c r="C1686" s="13"/>
      <c r="D1686" s="13"/>
    </row>
    <row r="1687" spans="1:4" ht="12.75">
      <c r="A1687" s="15"/>
      <c r="B1687" s="13"/>
      <c r="C1687" s="13"/>
      <c r="D1687" s="13"/>
    </row>
    <row r="1688" spans="1:4" ht="12.75">
      <c r="A1688" s="15"/>
      <c r="B1688" s="13"/>
      <c r="C1688" s="13"/>
      <c r="D1688" s="13"/>
    </row>
    <row r="1689" spans="1:4" ht="12.75">
      <c r="A1689" s="15"/>
      <c r="B1689" s="13"/>
      <c r="C1689" s="13"/>
      <c r="D1689" s="13"/>
    </row>
    <row r="1690" spans="1:4" ht="12.75">
      <c r="A1690" s="15"/>
      <c r="B1690" s="13"/>
      <c r="C1690" s="13"/>
      <c r="D1690" s="13"/>
    </row>
    <row r="1691" spans="1:4" ht="12.75">
      <c r="A1691" s="15"/>
      <c r="B1691" s="13"/>
      <c r="C1691" s="13"/>
      <c r="D1691" s="13"/>
    </row>
    <row r="1692" spans="1:4" ht="12.75">
      <c r="A1692" s="15"/>
      <c r="B1692" s="13"/>
      <c r="C1692" s="13"/>
      <c r="D1692" s="13"/>
    </row>
    <row r="1693" spans="1:4" ht="12.75">
      <c r="A1693" s="15"/>
      <c r="B1693" s="13"/>
      <c r="C1693" s="13"/>
      <c r="D1693" s="13"/>
    </row>
    <row r="1694" spans="1:4" ht="12.75">
      <c r="A1694" s="15"/>
      <c r="B1694" s="13"/>
      <c r="C1694" s="13"/>
      <c r="D1694" s="13"/>
    </row>
    <row r="1695" spans="1:4" ht="12.75">
      <c r="A1695" s="15"/>
      <c r="B1695" s="13"/>
      <c r="C1695" s="13"/>
      <c r="D1695" s="13"/>
    </row>
    <row r="1696" spans="1:4" ht="12.75">
      <c r="A1696" s="15"/>
      <c r="B1696" s="13"/>
      <c r="C1696" s="13"/>
      <c r="D1696" s="13"/>
    </row>
    <row r="1697" spans="1:4" ht="12.75">
      <c r="A1697" s="15"/>
      <c r="B1697" s="13"/>
      <c r="C1697" s="13"/>
      <c r="D1697" s="13"/>
    </row>
    <row r="1698" spans="1:4" ht="12.75">
      <c r="A1698" s="15"/>
      <c r="B1698" s="13"/>
      <c r="C1698" s="13"/>
      <c r="D1698" s="13"/>
    </row>
    <row r="1699" spans="1:4" ht="12.75">
      <c r="A1699" s="15"/>
      <c r="B1699" s="13"/>
      <c r="C1699" s="13"/>
      <c r="D1699" s="13"/>
    </row>
    <row r="1700" spans="1:4" ht="12.75">
      <c r="A1700" s="15"/>
      <c r="B1700" s="13"/>
      <c r="C1700" s="13"/>
      <c r="D1700" s="13"/>
    </row>
    <row r="1701" spans="1:4" ht="12.75">
      <c r="A1701" s="15"/>
      <c r="B1701" s="13"/>
      <c r="C1701" s="13"/>
      <c r="D1701" s="13"/>
    </row>
    <row r="1702" spans="1:4" ht="12.75">
      <c r="A1702" s="15"/>
      <c r="B1702" s="13"/>
      <c r="C1702" s="13"/>
      <c r="D1702" s="13"/>
    </row>
    <row r="1703" spans="1:4" ht="12.75">
      <c r="A1703" s="15"/>
      <c r="B1703" s="13"/>
      <c r="C1703" s="13"/>
      <c r="D1703" s="13"/>
    </row>
    <row r="1704" spans="1:4" ht="12.75">
      <c r="A1704" s="15"/>
      <c r="B1704" s="13"/>
      <c r="C1704" s="13"/>
      <c r="D1704" s="13"/>
    </row>
    <row r="1705" spans="1:4" ht="12.75">
      <c r="A1705" s="15"/>
      <c r="B1705" s="13"/>
      <c r="C1705" s="13"/>
      <c r="D1705" s="13"/>
    </row>
    <row r="1706" spans="1:4" ht="12.75">
      <c r="A1706" s="15"/>
      <c r="B1706" s="13"/>
      <c r="C1706" s="13"/>
      <c r="D1706" s="13"/>
    </row>
    <row r="1707" spans="1:4" ht="12.75">
      <c r="A1707" s="15"/>
      <c r="B1707" s="13"/>
      <c r="C1707" s="13"/>
      <c r="D1707" s="13"/>
    </row>
    <row r="1708" spans="1:4" ht="12.75">
      <c r="A1708" s="15"/>
      <c r="B1708" s="13"/>
      <c r="C1708" s="13"/>
      <c r="D1708" s="13"/>
    </row>
    <row r="1709" spans="1:4" ht="12.75">
      <c r="A1709" s="15"/>
      <c r="B1709" s="13"/>
      <c r="C1709" s="13"/>
      <c r="D1709" s="13"/>
    </row>
    <row r="1710" spans="1:4" ht="12.75">
      <c r="A1710" s="15"/>
      <c r="B1710" s="13"/>
      <c r="C1710" s="13"/>
      <c r="D1710" s="13"/>
    </row>
    <row r="1711" spans="1:4" ht="12.75">
      <c r="A1711" s="15"/>
      <c r="B1711" s="13"/>
      <c r="C1711" s="13"/>
      <c r="D1711" s="13"/>
    </row>
    <row r="1712" spans="1:4" ht="12.75">
      <c r="A1712" s="15"/>
      <c r="B1712" s="13"/>
      <c r="C1712" s="13"/>
      <c r="D1712" s="13"/>
    </row>
    <row r="1713" spans="1:4" ht="12.75">
      <c r="A1713" s="15"/>
      <c r="B1713" s="13"/>
      <c r="C1713" s="13"/>
      <c r="D1713" s="13"/>
    </row>
    <row r="1714" spans="1:4" ht="12.75">
      <c r="A1714" s="15"/>
      <c r="B1714" s="13"/>
      <c r="C1714" s="13"/>
      <c r="D1714" s="13"/>
    </row>
    <row r="1715" spans="1:4" ht="12.75">
      <c r="A1715" s="15"/>
      <c r="B1715" s="13"/>
      <c r="C1715" s="13"/>
      <c r="D1715" s="13"/>
    </row>
    <row r="1716" spans="1:4" ht="12.75">
      <c r="A1716" s="15"/>
      <c r="B1716" s="13"/>
      <c r="C1716" s="13"/>
      <c r="D1716" s="13"/>
    </row>
    <row r="1717" spans="1:4" ht="12.75">
      <c r="A1717" s="15"/>
      <c r="B1717" s="13"/>
      <c r="C1717" s="13"/>
      <c r="D1717" s="13"/>
    </row>
    <row r="1718" spans="1:4" ht="12.75">
      <c r="A1718" s="15"/>
      <c r="B1718" s="13"/>
      <c r="C1718" s="13"/>
      <c r="D1718" s="13"/>
    </row>
    <row r="1719" spans="1:4" ht="12.75">
      <c r="A1719" s="15"/>
      <c r="B1719" s="13"/>
      <c r="C1719" s="13"/>
      <c r="D1719" s="13"/>
    </row>
    <row r="1720" spans="1:4" ht="12.75">
      <c r="A1720" s="15"/>
      <c r="B1720" s="13"/>
      <c r="C1720" s="13"/>
      <c r="D1720" s="13"/>
    </row>
    <row r="1721" spans="1:4" ht="12.75">
      <c r="A1721" s="15"/>
      <c r="B1721" s="13"/>
      <c r="C1721" s="13"/>
      <c r="D1721" s="13"/>
    </row>
    <row r="1722" spans="1:4" ht="12.75">
      <c r="A1722" s="15"/>
      <c r="B1722" s="13"/>
      <c r="C1722" s="13"/>
      <c r="D1722" s="13"/>
    </row>
    <row r="1723" spans="1:4" ht="12.75">
      <c r="A1723" s="15"/>
      <c r="B1723" s="13"/>
      <c r="C1723" s="13"/>
      <c r="D1723" s="13"/>
    </row>
    <row r="1724" spans="1:4" ht="12.75">
      <c r="A1724" s="15"/>
      <c r="B1724" s="13"/>
      <c r="C1724" s="13"/>
      <c r="D1724" s="13"/>
    </row>
    <row r="1725" spans="1:4" ht="12.75">
      <c r="A1725" s="15"/>
      <c r="B1725" s="13"/>
      <c r="C1725" s="13"/>
      <c r="D1725" s="13"/>
    </row>
    <row r="1726" spans="1:4" ht="12.75">
      <c r="A1726" s="15"/>
      <c r="B1726" s="13"/>
      <c r="C1726" s="13"/>
      <c r="D1726" s="13"/>
    </row>
    <row r="1727" spans="1:4" ht="12.75">
      <c r="A1727" s="15"/>
      <c r="B1727" s="13"/>
      <c r="C1727" s="13"/>
      <c r="D1727" s="13"/>
    </row>
    <row r="1728" spans="1:4" ht="12.75">
      <c r="A1728" s="15"/>
      <c r="B1728" s="13"/>
      <c r="C1728" s="13"/>
      <c r="D1728" s="13"/>
    </row>
    <row r="1729" spans="1:4" ht="12.75">
      <c r="A1729" s="15"/>
      <c r="B1729" s="13"/>
      <c r="C1729" s="13"/>
      <c r="D1729" s="13"/>
    </row>
    <row r="1730" spans="1:4" ht="12.75">
      <c r="A1730" s="15"/>
      <c r="B1730" s="13"/>
      <c r="C1730" s="13"/>
      <c r="D1730" s="13"/>
    </row>
    <row r="1731" spans="1:4" ht="12.75">
      <c r="A1731" s="15"/>
      <c r="B1731" s="13"/>
      <c r="C1731" s="13"/>
      <c r="D1731" s="13"/>
    </row>
    <row r="1732" spans="1:4" ht="12.75">
      <c r="A1732" s="15"/>
      <c r="B1732" s="13"/>
      <c r="C1732" s="13"/>
      <c r="D1732" s="13"/>
    </row>
    <row r="1733" spans="1:4" ht="12.75">
      <c r="A1733" s="15"/>
      <c r="B1733" s="13"/>
      <c r="C1733" s="13"/>
      <c r="D1733" s="13"/>
    </row>
    <row r="1734" spans="1:4" ht="12.75">
      <c r="A1734" s="15"/>
      <c r="B1734" s="13"/>
      <c r="C1734" s="13"/>
      <c r="D1734" s="13"/>
    </row>
    <row r="1735" spans="1:4" ht="12.75">
      <c r="A1735" s="15"/>
      <c r="B1735" s="13"/>
      <c r="C1735" s="13"/>
      <c r="D1735" s="13"/>
    </row>
    <row r="1736" spans="1:4" ht="12.75">
      <c r="A1736" s="15"/>
      <c r="B1736" s="13"/>
      <c r="C1736" s="13"/>
      <c r="D1736" s="13"/>
    </row>
    <row r="1737" spans="1:4" ht="12.75">
      <c r="A1737" s="15"/>
      <c r="B1737" s="13"/>
      <c r="C1737" s="13"/>
      <c r="D1737" s="13"/>
    </row>
    <row r="1738" spans="1:4" ht="12.75">
      <c r="A1738" s="15"/>
      <c r="B1738" s="13"/>
      <c r="C1738" s="13"/>
      <c r="D1738" s="13"/>
    </row>
    <row r="1739" spans="1:4" ht="12.75">
      <c r="A1739" s="15"/>
      <c r="B1739" s="13"/>
      <c r="C1739" s="13"/>
      <c r="D1739" s="13"/>
    </row>
    <row r="1740" spans="1:4" ht="12.75">
      <c r="A1740" s="15"/>
      <c r="B1740" s="13"/>
      <c r="C1740" s="13"/>
      <c r="D1740" s="13"/>
    </row>
    <row r="1741" spans="1:4" ht="12.75">
      <c r="A1741" s="15"/>
      <c r="B1741" s="13"/>
      <c r="C1741" s="13"/>
      <c r="D1741" s="13"/>
    </row>
    <row r="1742" spans="1:4" ht="12.75">
      <c r="A1742" s="15"/>
      <c r="B1742" s="13"/>
      <c r="C1742" s="13"/>
      <c r="D1742" s="13"/>
    </row>
    <row r="1743" spans="1:4" ht="12.75">
      <c r="A1743" s="15"/>
      <c r="B1743" s="13"/>
      <c r="C1743" s="13"/>
      <c r="D1743" s="13"/>
    </row>
    <row r="1744" spans="1:4" ht="12.75">
      <c r="A1744" s="15"/>
      <c r="B1744" s="13"/>
      <c r="C1744" s="13"/>
      <c r="D1744" s="13"/>
    </row>
    <row r="1745" spans="1:4" ht="12.75">
      <c r="A1745" s="15"/>
      <c r="B1745" s="13"/>
      <c r="C1745" s="13"/>
      <c r="D1745" s="13"/>
    </row>
    <row r="1746" spans="1:4" ht="12.75">
      <c r="A1746" s="15"/>
      <c r="B1746" s="13"/>
      <c r="C1746" s="13"/>
      <c r="D1746" s="13"/>
    </row>
    <row r="1747" spans="1:4" ht="12.75">
      <c r="A1747" s="15"/>
      <c r="B1747" s="13"/>
      <c r="C1747" s="13"/>
      <c r="D1747" s="13"/>
    </row>
    <row r="1748" spans="1:4" ht="12.75">
      <c r="A1748" s="15"/>
      <c r="B1748" s="13"/>
      <c r="C1748" s="13"/>
      <c r="D1748" s="13"/>
    </row>
    <row r="1749" spans="1:4" ht="12.75">
      <c r="A1749" s="15"/>
      <c r="B1749" s="13"/>
      <c r="C1749" s="13"/>
      <c r="D1749" s="13"/>
    </row>
    <row r="1750" spans="1:4" ht="12.75">
      <c r="A1750" s="15"/>
      <c r="B1750" s="13"/>
      <c r="C1750" s="13"/>
      <c r="D1750" s="13"/>
    </row>
    <row r="1751" spans="1:4" ht="12.75">
      <c r="A1751" s="15"/>
      <c r="B1751" s="13"/>
      <c r="C1751" s="13"/>
      <c r="D1751" s="13"/>
    </row>
    <row r="1752" spans="1:4" ht="12.75">
      <c r="A1752" s="15"/>
      <c r="B1752" s="13"/>
      <c r="C1752" s="13"/>
      <c r="D1752" s="13"/>
    </row>
    <row r="1753" spans="1:4" ht="12.75">
      <c r="A1753" s="15"/>
      <c r="B1753" s="13"/>
      <c r="C1753" s="13"/>
      <c r="D1753" s="13"/>
    </row>
    <row r="1754" spans="1:4" ht="12.75">
      <c r="A1754" s="15"/>
      <c r="B1754" s="13"/>
      <c r="C1754" s="13"/>
      <c r="D1754" s="13"/>
    </row>
    <row r="1755" spans="1:4" ht="12.75">
      <c r="A1755" s="15"/>
      <c r="B1755" s="13"/>
      <c r="C1755" s="13"/>
      <c r="D1755" s="13"/>
    </row>
    <row r="1756" spans="1:4" ht="12.75">
      <c r="A1756" s="15"/>
      <c r="B1756" s="13"/>
      <c r="C1756" s="13"/>
      <c r="D1756" s="13"/>
    </row>
    <row r="1757" spans="1:4" ht="12.75">
      <c r="A1757" s="15"/>
      <c r="B1757" s="13"/>
      <c r="C1757" s="13"/>
      <c r="D1757" s="13"/>
    </row>
    <row r="1758" spans="1:4" ht="12.75">
      <c r="A1758" s="15"/>
      <c r="B1758" s="13"/>
      <c r="C1758" s="13"/>
      <c r="D1758" s="13"/>
    </row>
    <row r="1759" spans="1:4" ht="12.75">
      <c r="A1759" s="15"/>
      <c r="B1759" s="13"/>
      <c r="C1759" s="13"/>
      <c r="D1759" s="13"/>
    </row>
    <row r="1760" spans="1:4" ht="12.75">
      <c r="A1760" s="15"/>
      <c r="B1760" s="13"/>
      <c r="C1760" s="13"/>
      <c r="D1760" s="13"/>
    </row>
    <row r="1761" spans="1:4" ht="12.75">
      <c r="A1761" s="15"/>
      <c r="B1761" s="13"/>
      <c r="C1761" s="13"/>
      <c r="D1761" s="13"/>
    </row>
    <row r="1762" spans="1:4" ht="12.75">
      <c r="A1762" s="15"/>
      <c r="B1762" s="13"/>
      <c r="C1762" s="13"/>
      <c r="D1762" s="13"/>
    </row>
    <row r="1763" spans="1:4" ht="12.75">
      <c r="A1763" s="15"/>
      <c r="B1763" s="13"/>
      <c r="C1763" s="13"/>
      <c r="D1763" s="13"/>
    </row>
    <row r="1764" spans="1:4" ht="12.75">
      <c r="A1764" s="15"/>
      <c r="B1764" s="13"/>
      <c r="C1764" s="13"/>
      <c r="D1764" s="13"/>
    </row>
    <row r="1765" spans="1:4" ht="12.75">
      <c r="A1765" s="15"/>
      <c r="B1765" s="13"/>
      <c r="C1765" s="13"/>
      <c r="D1765" s="13"/>
    </row>
    <row r="1766" spans="1:4" ht="12.75">
      <c r="A1766" s="15"/>
      <c r="B1766" s="13"/>
      <c r="C1766" s="13"/>
      <c r="D1766" s="13"/>
    </row>
    <row r="1767" spans="1:4" ht="12.75">
      <c r="A1767" s="15"/>
      <c r="B1767" s="13"/>
      <c r="C1767" s="13"/>
      <c r="D1767" s="13"/>
    </row>
    <row r="1768" spans="1:4" ht="12.75">
      <c r="A1768" s="15"/>
      <c r="B1768" s="13"/>
      <c r="C1768" s="13"/>
      <c r="D1768" s="13"/>
    </row>
    <row r="1769" spans="1:4" ht="12.75">
      <c r="A1769" s="15"/>
      <c r="B1769" s="13"/>
      <c r="C1769" s="13"/>
      <c r="D1769" s="13"/>
    </row>
    <row r="1770" spans="1:4" ht="12.75">
      <c r="A1770" s="15"/>
      <c r="B1770" s="13"/>
      <c r="C1770" s="13"/>
      <c r="D1770" s="13"/>
    </row>
    <row r="1771" spans="1:4" ht="12.75">
      <c r="A1771" s="15"/>
      <c r="B1771" s="13"/>
      <c r="C1771" s="13"/>
      <c r="D1771" s="13"/>
    </row>
    <row r="1772" spans="1:4" ht="12.75">
      <c r="A1772" s="15"/>
      <c r="B1772" s="13"/>
      <c r="C1772" s="13"/>
      <c r="D1772" s="13"/>
    </row>
    <row r="1773" spans="1:4" ht="12.75">
      <c r="A1773" s="15"/>
      <c r="B1773" s="13"/>
      <c r="C1773" s="13"/>
      <c r="D1773" s="13"/>
    </row>
    <row r="1774" spans="1:4" ht="12.75">
      <c r="A1774" s="15"/>
      <c r="B1774" s="13"/>
      <c r="C1774" s="13"/>
      <c r="D1774" s="13"/>
    </row>
    <row r="1775" spans="1:4" ht="12.75">
      <c r="A1775" s="15"/>
      <c r="B1775" s="13"/>
      <c r="C1775" s="13"/>
      <c r="D1775" s="13"/>
    </row>
    <row r="1776" spans="1:4" ht="12.75">
      <c r="A1776" s="15"/>
      <c r="B1776" s="13"/>
      <c r="C1776" s="13"/>
      <c r="D1776" s="13"/>
    </row>
    <row r="1777" spans="1:4" ht="12.75">
      <c r="A1777" s="15"/>
      <c r="B1777" s="13"/>
      <c r="C1777" s="13"/>
      <c r="D1777" s="13"/>
    </row>
    <row r="1778" spans="1:4" ht="12.75">
      <c r="A1778" s="15"/>
      <c r="B1778" s="13"/>
      <c r="C1778" s="13"/>
      <c r="D1778" s="13"/>
    </row>
    <row r="1779" spans="1:4" ht="12.75">
      <c r="A1779" s="15"/>
      <c r="B1779" s="13"/>
      <c r="C1779" s="13"/>
      <c r="D1779" s="13"/>
    </row>
    <row r="1780" spans="1:4" ht="12.75">
      <c r="A1780" s="15"/>
      <c r="B1780" s="13"/>
      <c r="C1780" s="13"/>
      <c r="D1780" s="13"/>
    </row>
    <row r="1781" spans="1:4" ht="12.75">
      <c r="A1781" s="15"/>
      <c r="B1781" s="13"/>
      <c r="C1781" s="13"/>
      <c r="D1781" s="13"/>
    </row>
    <row r="1782" spans="1:4" ht="12.75">
      <c r="A1782" s="15"/>
      <c r="B1782" s="13"/>
      <c r="C1782" s="13"/>
      <c r="D1782" s="13"/>
    </row>
    <row r="1783" spans="1:4" ht="12.75">
      <c r="A1783" s="15"/>
      <c r="B1783" s="13"/>
      <c r="C1783" s="13"/>
      <c r="D1783" s="13"/>
    </row>
    <row r="1784" spans="1:4" ht="12.75">
      <c r="A1784" s="15"/>
      <c r="B1784" s="13"/>
      <c r="C1784" s="13"/>
      <c r="D1784" s="13"/>
    </row>
    <row r="1785" spans="1:4" ht="12.75">
      <c r="A1785" s="15"/>
      <c r="B1785" s="13"/>
      <c r="C1785" s="13"/>
      <c r="D1785" s="13"/>
    </row>
    <row r="1786" spans="1:4" ht="12.75">
      <c r="A1786" s="15"/>
      <c r="B1786" s="13"/>
      <c r="C1786" s="13"/>
      <c r="D1786" s="13"/>
    </row>
    <row r="1787" spans="1:4" ht="12.75">
      <c r="A1787" s="15"/>
      <c r="B1787" s="13"/>
      <c r="C1787" s="13"/>
      <c r="D1787" s="13"/>
    </row>
    <row r="1788" spans="1:4" ht="12.75">
      <c r="A1788" s="15"/>
      <c r="B1788" s="13"/>
      <c r="C1788" s="13"/>
      <c r="D1788" s="13"/>
    </row>
    <row r="1789" spans="1:4" ht="12.75">
      <c r="A1789" s="15"/>
      <c r="B1789" s="13"/>
      <c r="C1789" s="13"/>
      <c r="D1789" s="13"/>
    </row>
    <row r="1790" spans="1:4" ht="12.75">
      <c r="A1790" s="15"/>
      <c r="B1790" s="13"/>
      <c r="C1790" s="13"/>
      <c r="D1790" s="13"/>
    </row>
    <row r="1791" spans="1:4" ht="12.75">
      <c r="A1791" s="15"/>
      <c r="B1791" s="13"/>
      <c r="C1791" s="13"/>
      <c r="D1791" s="13"/>
    </row>
    <row r="1792" spans="1:4" ht="12.75">
      <c r="A1792" s="15"/>
      <c r="B1792" s="13"/>
      <c r="C1792" s="13"/>
      <c r="D1792" s="13"/>
    </row>
    <row r="1793" spans="1:4" ht="12.75">
      <c r="A1793" s="15"/>
      <c r="B1793" s="13"/>
      <c r="C1793" s="13"/>
      <c r="D1793" s="13"/>
    </row>
    <row r="1794" spans="1:4" ht="12.75">
      <c r="A1794" s="15"/>
      <c r="B1794" s="13"/>
      <c r="C1794" s="13"/>
      <c r="D1794" s="13"/>
    </row>
    <row r="1795" spans="1:4" ht="12.75">
      <c r="A1795" s="15"/>
      <c r="B1795" s="13"/>
      <c r="C1795" s="13"/>
      <c r="D1795" s="13"/>
    </row>
    <row r="1796" spans="1:4" ht="12.75">
      <c r="A1796" s="15"/>
      <c r="B1796" s="13"/>
      <c r="C1796" s="13"/>
      <c r="D1796" s="13"/>
    </row>
    <row r="1797" spans="1:4" ht="12.75">
      <c r="A1797" s="15"/>
      <c r="B1797" s="13"/>
      <c r="C1797" s="13"/>
      <c r="D1797" s="13"/>
    </row>
    <row r="1798" spans="1:4" ht="12.75">
      <c r="A1798" s="15"/>
      <c r="B1798" s="13"/>
      <c r="C1798" s="13"/>
      <c r="D1798" s="13"/>
    </row>
    <row r="1799" spans="1:4" ht="12.75">
      <c r="A1799" s="15"/>
      <c r="B1799" s="13"/>
      <c r="C1799" s="13"/>
      <c r="D1799" s="13"/>
    </row>
    <row r="1800" spans="1:4" ht="12.75">
      <c r="A1800" s="15"/>
      <c r="B1800" s="13"/>
      <c r="C1800" s="13"/>
      <c r="D1800" s="13"/>
    </row>
    <row r="1801" spans="1:4" ht="12.75">
      <c r="A1801" s="15"/>
      <c r="B1801" s="13"/>
      <c r="C1801" s="13"/>
      <c r="D1801" s="13"/>
    </row>
    <row r="1802" spans="1:4" ht="12.75">
      <c r="A1802" s="15"/>
      <c r="B1802" s="13"/>
      <c r="C1802" s="13"/>
      <c r="D1802" s="13"/>
    </row>
    <row r="1803" spans="1:4" ht="12.75">
      <c r="A1803" s="15"/>
      <c r="B1803" s="13"/>
      <c r="C1803" s="13"/>
      <c r="D1803" s="13"/>
    </row>
    <row r="1804" spans="1:4" ht="12.75">
      <c r="A1804" s="15"/>
      <c r="B1804" s="13"/>
      <c r="C1804" s="13"/>
      <c r="D1804" s="13"/>
    </row>
    <row r="1805" spans="1:4" ht="12.75">
      <c r="A1805" s="15"/>
      <c r="B1805" s="13"/>
      <c r="C1805" s="13"/>
      <c r="D1805" s="13"/>
    </row>
    <row r="1806" spans="1:4" ht="12.75">
      <c r="A1806" s="15"/>
      <c r="B1806" s="13"/>
      <c r="C1806" s="13"/>
      <c r="D1806" s="13"/>
    </row>
    <row r="1807" spans="1:4" ht="12.75">
      <c r="A1807" s="15"/>
      <c r="B1807" s="13"/>
      <c r="C1807" s="13"/>
      <c r="D1807" s="13"/>
    </row>
    <row r="1808" spans="1:4" ht="12.75">
      <c r="A1808" s="15"/>
      <c r="B1808" s="13"/>
      <c r="C1808" s="13"/>
      <c r="D1808" s="13"/>
    </row>
    <row r="1809" spans="1:4" ht="12.75">
      <c r="A1809" s="15"/>
      <c r="B1809" s="13"/>
      <c r="C1809" s="13"/>
      <c r="D1809" s="13"/>
    </row>
    <row r="1810" spans="1:4" ht="12.75">
      <c r="A1810" s="15"/>
      <c r="B1810" s="13"/>
      <c r="C1810" s="13"/>
      <c r="D1810" s="13"/>
    </row>
    <row r="1811" spans="1:4" ht="12.75">
      <c r="A1811" s="15"/>
      <c r="B1811" s="13"/>
      <c r="C1811" s="13"/>
      <c r="D1811" s="13"/>
    </row>
    <row r="1812" spans="1:4" ht="12.75">
      <c r="A1812" s="15"/>
      <c r="B1812" s="13"/>
      <c r="C1812" s="13"/>
      <c r="D1812" s="13"/>
    </row>
    <row r="1813" spans="1:4" ht="12.75">
      <c r="A1813" s="15"/>
      <c r="B1813" s="13"/>
      <c r="C1813" s="13"/>
      <c r="D1813" s="13"/>
    </row>
    <row r="1814" spans="1:4" ht="12.75">
      <c r="A1814" s="15"/>
      <c r="B1814" s="13"/>
      <c r="C1814" s="13"/>
      <c r="D1814" s="13"/>
    </row>
    <row r="1815" spans="1:4" ht="12.75">
      <c r="A1815" s="15"/>
      <c r="B1815" s="13"/>
      <c r="C1815" s="13"/>
      <c r="D1815" s="13"/>
    </row>
    <row r="1816" spans="1:4" ht="12.75">
      <c r="A1816" s="15"/>
      <c r="B1816" s="13"/>
      <c r="C1816" s="13"/>
      <c r="D1816" s="13"/>
    </row>
    <row r="1817" spans="1:4" ht="12.75">
      <c r="A1817" s="15"/>
      <c r="B1817" s="13"/>
      <c r="C1817" s="13"/>
      <c r="D1817" s="13"/>
    </row>
    <row r="1818" spans="1:4" ht="12.75">
      <c r="A1818" s="15"/>
      <c r="B1818" s="13"/>
      <c r="C1818" s="13"/>
      <c r="D1818" s="13"/>
    </row>
    <row r="1819" spans="1:4" ht="12.75">
      <c r="A1819" s="15"/>
      <c r="B1819" s="13"/>
      <c r="C1819" s="13"/>
      <c r="D1819" s="13"/>
    </row>
    <row r="1820" spans="1:4" ht="12.75">
      <c r="A1820" s="15"/>
      <c r="B1820" s="13"/>
      <c r="C1820" s="13"/>
      <c r="D1820" s="13"/>
    </row>
    <row r="1821" spans="1:4" ht="12.75">
      <c r="A1821" s="15"/>
      <c r="B1821" s="13"/>
      <c r="C1821" s="13"/>
      <c r="D1821" s="13"/>
    </row>
    <row r="1822" spans="1:4" ht="12.75">
      <c r="A1822" s="15"/>
      <c r="B1822" s="13"/>
      <c r="C1822" s="13"/>
      <c r="D1822" s="13"/>
    </row>
    <row r="1823" spans="1:4" ht="12.75">
      <c r="A1823" s="15"/>
      <c r="B1823" s="13"/>
      <c r="C1823" s="13"/>
      <c r="D1823" s="13"/>
    </row>
    <row r="1824" spans="1:4" ht="12.75">
      <c r="A1824" s="15"/>
      <c r="B1824" s="13"/>
      <c r="C1824" s="13"/>
      <c r="D1824" s="13"/>
    </row>
    <row r="1825" spans="1:4" ht="12.75">
      <c r="A1825" s="15"/>
      <c r="B1825" s="13"/>
      <c r="C1825" s="13"/>
      <c r="D1825" s="13"/>
    </row>
    <row r="1826" spans="1:4" ht="12.75">
      <c r="A1826" s="15"/>
      <c r="B1826" s="13"/>
      <c r="C1826" s="13"/>
      <c r="D1826" s="13"/>
    </row>
    <row r="1827" spans="1:4" ht="12.75">
      <c r="A1827" s="15"/>
      <c r="B1827" s="13"/>
      <c r="C1827" s="13"/>
      <c r="D1827" s="13"/>
    </row>
    <row r="1828" spans="1:4" ht="12.75">
      <c r="A1828" s="15"/>
      <c r="B1828" s="13"/>
      <c r="C1828" s="13"/>
      <c r="D1828" s="13"/>
    </row>
    <row r="1829" spans="1:4" ht="12.75">
      <c r="A1829" s="15"/>
      <c r="B1829" s="13"/>
      <c r="C1829" s="13"/>
      <c r="D1829" s="13"/>
    </row>
    <row r="1830" spans="1:4" ht="12.75">
      <c r="A1830" s="15"/>
      <c r="B1830" s="13"/>
      <c r="C1830" s="13"/>
      <c r="D1830" s="13"/>
    </row>
    <row r="1831" spans="1:4" ht="12.75">
      <c r="A1831" s="15"/>
      <c r="B1831" s="13"/>
      <c r="C1831" s="13"/>
      <c r="D1831" s="13"/>
    </row>
    <row r="1832" spans="1:4" ht="12.75">
      <c r="A1832" s="15"/>
      <c r="B1832" s="13"/>
      <c r="C1832" s="13"/>
      <c r="D1832" s="13"/>
    </row>
    <row r="1833" spans="1:4" ht="12.75">
      <c r="A1833" s="15"/>
      <c r="B1833" s="13"/>
      <c r="C1833" s="13"/>
      <c r="D1833" s="13"/>
    </row>
    <row r="1834" spans="1:4" ht="12.75">
      <c r="A1834" s="15"/>
      <c r="B1834" s="13"/>
      <c r="C1834" s="13"/>
      <c r="D1834" s="13"/>
    </row>
    <row r="1835" spans="1:4" ht="12.75">
      <c r="A1835" s="15"/>
      <c r="B1835" s="13"/>
      <c r="C1835" s="13"/>
      <c r="D1835" s="13"/>
    </row>
    <row r="1836" spans="1:4" ht="12.75">
      <c r="A1836" s="15"/>
      <c r="B1836" s="13"/>
      <c r="C1836" s="13"/>
      <c r="D1836" s="13"/>
    </row>
    <row r="1837" spans="1:4" ht="12.75">
      <c r="A1837" s="15"/>
      <c r="B1837" s="13"/>
      <c r="C1837" s="13"/>
      <c r="D1837" s="13"/>
    </row>
    <row r="1838" spans="1:4" ht="12.75">
      <c r="A1838" s="15"/>
      <c r="B1838" s="13"/>
      <c r="C1838" s="13"/>
      <c r="D1838" s="13"/>
    </row>
    <row r="1839" spans="1:4" ht="12.75">
      <c r="A1839" s="15"/>
      <c r="B1839" s="13"/>
      <c r="C1839" s="13"/>
      <c r="D1839" s="13"/>
    </row>
    <row r="1840" spans="1:4" ht="12.75">
      <c r="A1840" s="15"/>
      <c r="B1840" s="13"/>
      <c r="C1840" s="13"/>
      <c r="D1840" s="13"/>
    </row>
    <row r="1841" spans="1:4" ht="12.75">
      <c r="A1841" s="15"/>
      <c r="B1841" s="13"/>
      <c r="C1841" s="13"/>
      <c r="D1841" s="13"/>
    </row>
    <row r="1842" spans="1:4" ht="12.75">
      <c r="A1842" s="15"/>
      <c r="B1842" s="13"/>
      <c r="C1842" s="13"/>
      <c r="D1842" s="13"/>
    </row>
    <row r="1843" spans="1:4" ht="12.75">
      <c r="A1843" s="15"/>
      <c r="B1843" s="13"/>
      <c r="C1843" s="13"/>
      <c r="D1843" s="13"/>
    </row>
    <row r="1844" spans="1:4" ht="12.75">
      <c r="A1844" s="15"/>
      <c r="B1844" s="13"/>
      <c r="C1844" s="13"/>
      <c r="D1844" s="13"/>
    </row>
    <row r="1845" spans="1:4" ht="12.75">
      <c r="A1845" s="15"/>
      <c r="B1845" s="13"/>
      <c r="C1845" s="13"/>
      <c r="D1845" s="13"/>
    </row>
    <row r="1846" spans="1:4" ht="12.75">
      <c r="A1846" s="15"/>
      <c r="B1846" s="13"/>
      <c r="C1846" s="13"/>
      <c r="D1846" s="13"/>
    </row>
    <row r="1847" spans="1:4" ht="12.75">
      <c r="A1847" s="15"/>
      <c r="B1847" s="13"/>
      <c r="C1847" s="13"/>
      <c r="D1847" s="13"/>
    </row>
    <row r="1848" spans="1:4" ht="12.75">
      <c r="A1848" s="15"/>
      <c r="B1848" s="13"/>
      <c r="C1848" s="13"/>
      <c r="D1848" s="13"/>
    </row>
    <row r="1849" spans="1:4" ht="12.75">
      <c r="A1849" s="15"/>
      <c r="B1849" s="13"/>
      <c r="C1849" s="13"/>
      <c r="D1849" s="13"/>
    </row>
    <row r="1850" spans="1:4" ht="12.75">
      <c r="A1850" s="15"/>
      <c r="B1850" s="13"/>
      <c r="C1850" s="13"/>
      <c r="D1850" s="13"/>
    </row>
    <row r="1851" spans="1:4" ht="12.75">
      <c r="A1851" s="15"/>
      <c r="B1851" s="13"/>
      <c r="C1851" s="13"/>
      <c r="D1851" s="13"/>
    </row>
    <row r="1852" spans="1:4" ht="12.75">
      <c r="A1852" s="15"/>
      <c r="B1852" s="13"/>
      <c r="C1852" s="13"/>
      <c r="D1852" s="13"/>
    </row>
    <row r="1853" spans="1:4" ht="12.75">
      <c r="A1853" s="15"/>
      <c r="B1853" s="13"/>
      <c r="C1853" s="13"/>
      <c r="D1853" s="13"/>
    </row>
    <row r="1854" spans="1:4" ht="12.75">
      <c r="A1854" s="15"/>
      <c r="B1854" s="13"/>
      <c r="C1854" s="13"/>
      <c r="D1854" s="13"/>
    </row>
    <row r="1855" spans="1:4" ht="12.75">
      <c r="A1855" s="15"/>
      <c r="B1855" s="13"/>
      <c r="C1855" s="13"/>
      <c r="D1855" s="13"/>
    </row>
    <row r="1856" spans="1:4" ht="12.75">
      <c r="A1856" s="15"/>
      <c r="B1856" s="13"/>
      <c r="C1856" s="13"/>
      <c r="D1856" s="13"/>
    </row>
    <row r="1857" spans="1:4" ht="12.75">
      <c r="A1857" s="15"/>
      <c r="B1857" s="13"/>
      <c r="C1857" s="13"/>
      <c r="D1857" s="13"/>
    </row>
    <row r="1858" spans="1:4" ht="12.75">
      <c r="A1858" s="15"/>
      <c r="B1858" s="13"/>
      <c r="C1858" s="13"/>
      <c r="D1858" s="13"/>
    </row>
    <row r="1859" spans="1:4" ht="12.75">
      <c r="A1859" s="15"/>
      <c r="B1859" s="13"/>
      <c r="C1859" s="13"/>
      <c r="D1859" s="13"/>
    </row>
    <row r="1860" spans="1:4" ht="12.75">
      <c r="A1860" s="15"/>
      <c r="B1860" s="13"/>
      <c r="C1860" s="13"/>
      <c r="D1860" s="13"/>
    </row>
    <row r="1861" spans="1:4" ht="12.75">
      <c r="A1861" s="15"/>
      <c r="B1861" s="13"/>
      <c r="C1861" s="13"/>
      <c r="D1861" s="13"/>
    </row>
    <row r="1862" spans="1:4" ht="12.75">
      <c r="A1862" s="15"/>
      <c r="B1862" s="13"/>
      <c r="C1862" s="13"/>
      <c r="D1862" s="13"/>
    </row>
    <row r="1863" spans="1:4" ht="12.75">
      <c r="A1863" s="15"/>
      <c r="B1863" s="13"/>
      <c r="C1863" s="13"/>
      <c r="D1863" s="13"/>
    </row>
    <row r="1864" spans="1:4" ht="12.75">
      <c r="A1864" s="15"/>
      <c r="B1864" s="13"/>
      <c r="C1864" s="13"/>
      <c r="D1864" s="13"/>
    </row>
    <row r="1865" spans="1:4" ht="12.75">
      <c r="A1865" s="15"/>
      <c r="B1865" s="13"/>
      <c r="C1865" s="13"/>
      <c r="D1865" s="13"/>
    </row>
    <row r="1866" spans="1:4" ht="12.75">
      <c r="A1866" s="15"/>
      <c r="B1866" s="13"/>
      <c r="C1866" s="13"/>
      <c r="D1866" s="13"/>
    </row>
    <row r="1867" spans="1:4" ht="12.75">
      <c r="A1867" s="15"/>
      <c r="B1867" s="13"/>
      <c r="C1867" s="13"/>
      <c r="D1867" s="13"/>
    </row>
    <row r="1868" spans="1:4" ht="12.75">
      <c r="A1868" s="15"/>
      <c r="B1868" s="13"/>
      <c r="C1868" s="13"/>
      <c r="D1868" s="13"/>
    </row>
    <row r="1869" spans="1:4" ht="12.75">
      <c r="A1869" s="15"/>
      <c r="B1869" s="13"/>
      <c r="C1869" s="13"/>
      <c r="D1869" s="13"/>
    </row>
    <row r="1870" spans="1:4" ht="12.75">
      <c r="A1870" s="15"/>
      <c r="B1870" s="13"/>
      <c r="C1870" s="13"/>
      <c r="D1870" s="13"/>
    </row>
    <row r="1871" spans="1:4" ht="12.75">
      <c r="A1871" s="15"/>
      <c r="B1871" s="13"/>
      <c r="C1871" s="13"/>
      <c r="D1871" s="13"/>
    </row>
    <row r="1872" spans="1:4" ht="12.75">
      <c r="A1872" s="15"/>
      <c r="B1872" s="13"/>
      <c r="C1872" s="13"/>
      <c r="D1872" s="13"/>
    </row>
    <row r="1873" spans="1:4" ht="12.75">
      <c r="A1873" s="15"/>
      <c r="B1873" s="13"/>
      <c r="C1873" s="13"/>
      <c r="D1873" s="13"/>
    </row>
    <row r="1874" spans="1:4" ht="12.75">
      <c r="A1874" s="15"/>
      <c r="B1874" s="13"/>
      <c r="C1874" s="13"/>
      <c r="D1874" s="13"/>
    </row>
    <row r="1875" spans="1:4" ht="12.75">
      <c r="A1875" s="15"/>
      <c r="B1875" s="13"/>
      <c r="C1875" s="13"/>
      <c r="D1875" s="13"/>
    </row>
    <row r="1876" spans="1:4" ht="12.75">
      <c r="A1876" s="15"/>
      <c r="B1876" s="13"/>
      <c r="C1876" s="13"/>
      <c r="D1876" s="13"/>
    </row>
    <row r="1877" spans="1:4" ht="12.75">
      <c r="A1877" s="15"/>
      <c r="B1877" s="13"/>
      <c r="C1877" s="13"/>
      <c r="D1877" s="13"/>
    </row>
    <row r="1878" spans="1:4" ht="12.75">
      <c r="A1878" s="15"/>
      <c r="B1878" s="13"/>
      <c r="C1878" s="13"/>
      <c r="D1878" s="13"/>
    </row>
    <row r="1879" spans="1:4" ht="12.75">
      <c r="A1879" s="15"/>
      <c r="B1879" s="13"/>
      <c r="C1879" s="13"/>
      <c r="D1879" s="13"/>
    </row>
    <row r="1880" spans="1:4" ht="12.75">
      <c r="A1880" s="15"/>
      <c r="B1880" s="13"/>
      <c r="C1880" s="13"/>
      <c r="D1880" s="13"/>
    </row>
    <row r="1881" spans="1:4" ht="12.75">
      <c r="A1881" s="15"/>
      <c r="B1881" s="13"/>
      <c r="C1881" s="13"/>
      <c r="D1881" s="13"/>
    </row>
    <row r="1882" spans="1:4" ht="12.75">
      <c r="A1882" s="15"/>
      <c r="B1882" s="13"/>
      <c r="C1882" s="13"/>
      <c r="D1882" s="13"/>
    </row>
    <row r="1883" spans="1:4" ht="12.75">
      <c r="A1883" s="15"/>
      <c r="B1883" s="13"/>
      <c r="C1883" s="13"/>
      <c r="D1883" s="13"/>
    </row>
    <row r="1884" spans="1:4" ht="12.75">
      <c r="A1884" s="15"/>
      <c r="B1884" s="13"/>
      <c r="C1884" s="13"/>
      <c r="D1884" s="13"/>
    </row>
    <row r="1885" spans="1:4" ht="12.75">
      <c r="A1885" s="15"/>
      <c r="B1885" s="13"/>
      <c r="C1885" s="13"/>
      <c r="D1885" s="13"/>
    </row>
    <row r="1886" spans="1:4" ht="12.75">
      <c r="A1886" s="15"/>
      <c r="B1886" s="13"/>
      <c r="C1886" s="13"/>
      <c r="D1886" s="13"/>
    </row>
    <row r="1887" spans="1:4" ht="12.75">
      <c r="A1887" s="15"/>
      <c r="B1887" s="13"/>
      <c r="C1887" s="13"/>
      <c r="D1887" s="13"/>
    </row>
    <row r="1888" spans="1:4" ht="12.75">
      <c r="A1888" s="15"/>
      <c r="B1888" s="13"/>
      <c r="C1888" s="13"/>
      <c r="D1888" s="13"/>
    </row>
    <row r="1889" spans="1:4" ht="12.75">
      <c r="A1889" s="15"/>
      <c r="B1889" s="13"/>
      <c r="C1889" s="13"/>
      <c r="D1889" s="13"/>
    </row>
    <row r="1890" spans="1:4" ht="12.75">
      <c r="A1890" s="15"/>
      <c r="B1890" s="13"/>
      <c r="C1890" s="13"/>
      <c r="D1890" s="13"/>
    </row>
    <row r="1891" spans="1:4" ht="12.75">
      <c r="A1891" s="15"/>
      <c r="B1891" s="13"/>
      <c r="C1891" s="13"/>
      <c r="D1891" s="13"/>
    </row>
    <row r="1892" spans="1:4" ht="12.75">
      <c r="A1892" s="15"/>
      <c r="B1892" s="13"/>
      <c r="C1892" s="13"/>
      <c r="D1892" s="13"/>
    </row>
    <row r="1893" spans="1:4" ht="12.75">
      <c r="A1893" s="15"/>
      <c r="B1893" s="13"/>
      <c r="C1893" s="13"/>
      <c r="D1893" s="13"/>
    </row>
    <row r="1894" spans="1:4" ht="12.75">
      <c r="A1894" s="15"/>
      <c r="B1894" s="13"/>
      <c r="C1894" s="13"/>
      <c r="D1894" s="13"/>
    </row>
    <row r="1895" spans="1:4" ht="12.75">
      <c r="A1895" s="15"/>
      <c r="B1895" s="13"/>
      <c r="C1895" s="13"/>
      <c r="D1895" s="13"/>
    </row>
    <row r="1896" spans="1:4" ht="12.75">
      <c r="A1896" s="15"/>
      <c r="B1896" s="13"/>
      <c r="C1896" s="13"/>
      <c r="D1896" s="13"/>
    </row>
    <row r="1897" spans="1:4" ht="12.75">
      <c r="A1897" s="15"/>
      <c r="B1897" s="13"/>
      <c r="C1897" s="13"/>
      <c r="D1897" s="13"/>
    </row>
    <row r="1898" spans="1:4" ht="12.75">
      <c r="A1898" s="15"/>
      <c r="B1898" s="13"/>
      <c r="C1898" s="13"/>
      <c r="D1898" s="13"/>
    </row>
    <row r="1899" spans="1:4" ht="12.75">
      <c r="A1899" s="15"/>
      <c r="B1899" s="13"/>
      <c r="C1899" s="13"/>
      <c r="D1899" s="13"/>
    </row>
    <row r="1900" spans="1:4" ht="12.75">
      <c r="A1900" s="15"/>
      <c r="B1900" s="13"/>
      <c r="C1900" s="13"/>
      <c r="D1900" s="13"/>
    </row>
    <row r="1901" spans="1:4" ht="12.75">
      <c r="A1901" s="15"/>
      <c r="B1901" s="13"/>
      <c r="C1901" s="13"/>
      <c r="D1901" s="13"/>
    </row>
    <row r="1902" spans="1:4" ht="12.75">
      <c r="A1902" s="15"/>
      <c r="B1902" s="13"/>
      <c r="C1902" s="13"/>
      <c r="D1902" s="13"/>
    </row>
    <row r="1903" spans="1:4" ht="12.75">
      <c r="A1903" s="15"/>
      <c r="B1903" s="13"/>
      <c r="C1903" s="13"/>
      <c r="D1903" s="13"/>
    </row>
    <row r="1904" spans="1:4" ht="12.75">
      <c r="A1904" s="15"/>
      <c r="B1904" s="13"/>
      <c r="C1904" s="13"/>
      <c r="D1904" s="13"/>
    </row>
    <row r="1905" spans="1:4" ht="12.75">
      <c r="A1905" s="15"/>
      <c r="B1905" s="13"/>
      <c r="C1905" s="13"/>
      <c r="D1905" s="13"/>
    </row>
    <row r="1906" spans="1:4" ht="12.75">
      <c r="A1906" s="15"/>
      <c r="B1906" s="13"/>
      <c r="C1906" s="13"/>
      <c r="D1906" s="13"/>
    </row>
    <row r="1907" spans="1:4" ht="12.75">
      <c r="A1907" s="15"/>
      <c r="B1907" s="13"/>
      <c r="C1907" s="13"/>
      <c r="D1907" s="13"/>
    </row>
    <row r="1908" spans="1:4" ht="12.75">
      <c r="A1908" s="15"/>
      <c r="B1908" s="13"/>
      <c r="C1908" s="13"/>
      <c r="D1908" s="13"/>
    </row>
    <row r="1909" spans="1:4" ht="12.75">
      <c r="A1909" s="15"/>
      <c r="B1909" s="13"/>
      <c r="C1909" s="13"/>
      <c r="D1909" s="13"/>
    </row>
    <row r="1910" spans="1:4" ht="12.75">
      <c r="A1910" s="15"/>
      <c r="B1910" s="13"/>
      <c r="C1910" s="13"/>
      <c r="D1910" s="13"/>
    </row>
    <row r="1911" spans="1:4" ht="12.75">
      <c r="A1911" s="15"/>
      <c r="B1911" s="13"/>
      <c r="C1911" s="13"/>
      <c r="D1911" s="13"/>
    </row>
    <row r="1912" spans="1:4" ht="12.75">
      <c r="A1912" s="15"/>
      <c r="B1912" s="13"/>
      <c r="C1912" s="13"/>
      <c r="D1912" s="13"/>
    </row>
    <row r="1913" spans="1:4" ht="12.75">
      <c r="A1913" s="15"/>
      <c r="B1913" s="13"/>
      <c r="C1913" s="13"/>
      <c r="D1913" s="13"/>
    </row>
    <row r="1914" spans="1:4" ht="12.75">
      <c r="A1914" s="15"/>
      <c r="B1914" s="13"/>
      <c r="C1914" s="13"/>
      <c r="D1914" s="13"/>
    </row>
    <row r="1915" spans="1:4" ht="12.75">
      <c r="A1915" s="15"/>
      <c r="B1915" s="13"/>
      <c r="C1915" s="13"/>
      <c r="D1915" s="13"/>
    </row>
    <row r="1916" spans="1:4" ht="12.75">
      <c r="A1916" s="15"/>
      <c r="B1916" s="13"/>
      <c r="C1916" s="13"/>
      <c r="D1916" s="13"/>
    </row>
    <row r="1917" spans="1:4" ht="12.75">
      <c r="A1917" s="15"/>
      <c r="B1917" s="13"/>
      <c r="C1917" s="13"/>
      <c r="D1917" s="13"/>
    </row>
    <row r="1918" spans="1:4" ht="12.75">
      <c r="A1918" s="15"/>
      <c r="B1918" s="13"/>
      <c r="C1918" s="13"/>
      <c r="D1918" s="13"/>
    </row>
    <row r="1919" spans="1:4" ht="12.75">
      <c r="A1919" s="15"/>
      <c r="B1919" s="13"/>
      <c r="C1919" s="13"/>
      <c r="D1919" s="13"/>
    </row>
    <row r="1920" spans="1:4" ht="12.75">
      <c r="A1920" s="15"/>
      <c r="B1920" s="13"/>
      <c r="C1920" s="13"/>
      <c r="D1920" s="13"/>
    </row>
    <row r="1921" spans="1:4" ht="12.75">
      <c r="A1921" s="15"/>
      <c r="B1921" s="13"/>
      <c r="C1921" s="13"/>
      <c r="D1921" s="13"/>
    </row>
    <row r="1922" spans="1:4" ht="12.75">
      <c r="A1922" s="15"/>
      <c r="B1922" s="13"/>
      <c r="C1922" s="13"/>
      <c r="D1922" s="13"/>
    </row>
    <row r="1923" spans="1:4" ht="12.75">
      <c r="A1923" s="15"/>
      <c r="B1923" s="13"/>
      <c r="C1923" s="13"/>
      <c r="D1923" s="13"/>
    </row>
    <row r="1924" spans="1:4" ht="12.75">
      <c r="A1924" s="15"/>
      <c r="B1924" s="13"/>
      <c r="C1924" s="13"/>
      <c r="D1924" s="13"/>
    </row>
    <row r="1925" spans="1:4" ht="12.75">
      <c r="A1925" s="15"/>
      <c r="B1925" s="13"/>
      <c r="C1925" s="13"/>
      <c r="D1925" s="13"/>
    </row>
    <row r="1926" spans="1:4" ht="12.75">
      <c r="A1926" s="15"/>
      <c r="B1926" s="13"/>
      <c r="C1926" s="13"/>
      <c r="D1926" s="13"/>
    </row>
    <row r="1927" spans="1:4" ht="12.75">
      <c r="A1927" s="15"/>
      <c r="B1927" s="13"/>
      <c r="C1927" s="13"/>
      <c r="D1927" s="13"/>
    </row>
    <row r="1928" spans="1:4" ht="12.75">
      <c r="A1928" s="15"/>
      <c r="B1928" s="13"/>
      <c r="C1928" s="13"/>
      <c r="D1928" s="13"/>
    </row>
    <row r="1929" spans="1:4" ht="12.75">
      <c r="A1929" s="15"/>
      <c r="B1929" s="13"/>
      <c r="C1929" s="13"/>
      <c r="D1929" s="13"/>
    </row>
    <row r="1930" spans="1:4" ht="12.75">
      <c r="A1930" s="15"/>
      <c r="B1930" s="13"/>
      <c r="C1930" s="13"/>
      <c r="D1930" s="13"/>
    </row>
    <row r="1931" spans="1:4" ht="12.75">
      <c r="A1931" s="15"/>
      <c r="B1931" s="13"/>
      <c r="C1931" s="13"/>
      <c r="D1931" s="13"/>
    </row>
    <row r="1932" spans="1:4" ht="12.75">
      <c r="A1932" s="15"/>
      <c r="B1932" s="13"/>
      <c r="C1932" s="13"/>
      <c r="D1932" s="13"/>
    </row>
    <row r="1933" spans="1:4" ht="12.75">
      <c r="A1933" s="15"/>
      <c r="B1933" s="13"/>
      <c r="C1933" s="13"/>
      <c r="D1933" s="13"/>
    </row>
    <row r="1934" spans="1:4" ht="12.75">
      <c r="A1934" s="15"/>
      <c r="B1934" s="13"/>
      <c r="C1934" s="13"/>
      <c r="D1934" s="13"/>
    </row>
    <row r="1935" spans="1:4" ht="12.75">
      <c r="A1935" s="15"/>
      <c r="B1935" s="13"/>
      <c r="C1935" s="13"/>
      <c r="D1935" s="13"/>
    </row>
    <row r="1936" spans="1:4" ht="12.75">
      <c r="A1936" s="15"/>
      <c r="B1936" s="13"/>
      <c r="C1936" s="13"/>
      <c r="D1936" s="13"/>
    </row>
    <row r="1937" spans="1:4" ht="12.75">
      <c r="A1937" s="15"/>
      <c r="B1937" s="13"/>
      <c r="C1937" s="13"/>
      <c r="D1937" s="13"/>
    </row>
    <row r="1938" spans="1:4" ht="12.75">
      <c r="A1938" s="15"/>
      <c r="B1938" s="13"/>
      <c r="C1938" s="13"/>
      <c r="D1938" s="13"/>
    </row>
    <row r="1939" spans="1:4" ht="12.75">
      <c r="A1939" s="15"/>
      <c r="B1939" s="13"/>
      <c r="C1939" s="13"/>
      <c r="D1939" s="13"/>
    </row>
    <row r="1940" spans="1:4" ht="12.75">
      <c r="A1940" s="15"/>
      <c r="B1940" s="13"/>
      <c r="C1940" s="13"/>
      <c r="D1940" s="13"/>
    </row>
    <row r="1941" spans="1:4" ht="12.75">
      <c r="A1941" s="15"/>
      <c r="B1941" s="13"/>
      <c r="C1941" s="13"/>
      <c r="D1941" s="13"/>
    </row>
    <row r="1942" spans="1:4" ht="12.75">
      <c r="A1942" s="15"/>
      <c r="B1942" s="13"/>
      <c r="C1942" s="13"/>
      <c r="D1942" s="13"/>
    </row>
    <row r="1943" spans="1:4" ht="12.75">
      <c r="A1943" s="15"/>
      <c r="B1943" s="13"/>
      <c r="C1943" s="13"/>
      <c r="D1943" s="13"/>
    </row>
    <row r="1944" spans="1:4" ht="12.75">
      <c r="A1944" s="15"/>
      <c r="B1944" s="13"/>
      <c r="C1944" s="13"/>
      <c r="D1944" s="13"/>
    </row>
    <row r="1945" spans="1:4" ht="12.75">
      <c r="A1945" s="15"/>
      <c r="B1945" s="13"/>
      <c r="C1945" s="13"/>
      <c r="D1945" s="13"/>
    </row>
    <row r="1946" spans="1:4" ht="12.75">
      <c r="A1946" s="15"/>
      <c r="B1946" s="13"/>
      <c r="C1946" s="13"/>
      <c r="D1946" s="13"/>
    </row>
    <row r="1947" spans="1:4" ht="12.75">
      <c r="A1947" s="15"/>
      <c r="B1947" s="13"/>
      <c r="C1947" s="13"/>
      <c r="D1947" s="13"/>
    </row>
    <row r="1948" spans="1:4" ht="12.75">
      <c r="A1948" s="15"/>
      <c r="B1948" s="13"/>
      <c r="C1948" s="13"/>
      <c r="D1948" s="13"/>
    </row>
    <row r="1949" spans="1:4" ht="12.75">
      <c r="A1949" s="15"/>
      <c r="B1949" s="13"/>
      <c r="C1949" s="13"/>
      <c r="D1949" s="13"/>
    </row>
    <row r="1950" spans="1:4" ht="12.75">
      <c r="A1950" s="15"/>
      <c r="B1950" s="13"/>
      <c r="C1950" s="13"/>
      <c r="D1950" s="13"/>
    </row>
    <row r="1951" spans="1:4" ht="12.75">
      <c r="A1951" s="15"/>
      <c r="B1951" s="13"/>
      <c r="C1951" s="13"/>
      <c r="D1951" s="13"/>
    </row>
    <row r="1952" spans="1:4" ht="12.75">
      <c r="A1952" s="15"/>
      <c r="B1952" s="13"/>
      <c r="C1952" s="13"/>
      <c r="D1952" s="13"/>
    </row>
    <row r="1953" spans="1:4" ht="12.75">
      <c r="A1953" s="15"/>
      <c r="B1953" s="13"/>
      <c r="C1953" s="13"/>
      <c r="D1953" s="13"/>
    </row>
    <row r="1954" spans="1:4" ht="12.75">
      <c r="A1954" s="15"/>
      <c r="B1954" s="13"/>
      <c r="C1954" s="13"/>
      <c r="D1954" s="13"/>
    </row>
    <row r="1955" spans="1:4" ht="12.75">
      <c r="A1955" s="15"/>
      <c r="B1955" s="13"/>
      <c r="C1955" s="13"/>
      <c r="D1955" s="13"/>
    </row>
    <row r="1956" spans="1:4" ht="12.75">
      <c r="A1956" s="15"/>
      <c r="B1956" s="13"/>
      <c r="C1956" s="13"/>
      <c r="D1956" s="13"/>
    </row>
    <row r="1957" spans="1:4" ht="12.75">
      <c r="A1957" s="15"/>
      <c r="B1957" s="13"/>
      <c r="C1957" s="13"/>
      <c r="D1957" s="13"/>
    </row>
    <row r="1958" spans="1:4" ht="12.75">
      <c r="A1958" s="15"/>
      <c r="B1958" s="13"/>
      <c r="C1958" s="13"/>
      <c r="D1958" s="13"/>
    </row>
    <row r="1959" spans="1:4" ht="12.75">
      <c r="A1959" s="15"/>
      <c r="B1959" s="13"/>
      <c r="C1959" s="13"/>
      <c r="D1959" s="13"/>
    </row>
    <row r="1960" spans="1:4" ht="12.75">
      <c r="A1960" s="15"/>
      <c r="B1960" s="13"/>
      <c r="C1960" s="13"/>
      <c r="D1960" s="13"/>
    </row>
    <row r="1961" spans="1:4" ht="12.75">
      <c r="A1961" s="15"/>
      <c r="B1961" s="13"/>
      <c r="C1961" s="13"/>
      <c r="D1961" s="13"/>
    </row>
    <row r="1962" spans="1:4" ht="12.75">
      <c r="A1962" s="15"/>
      <c r="B1962" s="13"/>
      <c r="C1962" s="13"/>
      <c r="D1962" s="13"/>
    </row>
    <row r="1963" spans="1:4" ht="12.75">
      <c r="A1963" s="15"/>
      <c r="B1963" s="13"/>
      <c r="C1963" s="13"/>
      <c r="D1963" s="13"/>
    </row>
    <row r="1964" spans="1:4" ht="12.75">
      <c r="A1964" s="15"/>
      <c r="B1964" s="13"/>
      <c r="C1964" s="13"/>
      <c r="D1964" s="13"/>
    </row>
    <row r="1965" spans="1:4" ht="12.75">
      <c r="A1965" s="15"/>
      <c r="B1965" s="13"/>
      <c r="C1965" s="13"/>
      <c r="D1965" s="13"/>
    </row>
    <row r="1966" spans="1:4" ht="12.75">
      <c r="A1966" s="15"/>
      <c r="B1966" s="13"/>
      <c r="C1966" s="13"/>
      <c r="D1966" s="13"/>
    </row>
    <row r="1967" spans="1:4" ht="12.75">
      <c r="A1967" s="15"/>
      <c r="B1967" s="13"/>
      <c r="C1967" s="13"/>
      <c r="D1967" s="13"/>
    </row>
    <row r="1968" spans="1:4" ht="12.75">
      <c r="A1968" s="15"/>
      <c r="B1968" s="13"/>
      <c r="C1968" s="13"/>
      <c r="D1968" s="13"/>
    </row>
    <row r="1969" spans="1:4" ht="12.75">
      <c r="A1969" s="15"/>
      <c r="B1969" s="13"/>
      <c r="C1969" s="13"/>
      <c r="D1969" s="13"/>
    </row>
    <row r="1970" spans="1:4" ht="12.75">
      <c r="A1970" s="15"/>
      <c r="B1970" s="13"/>
      <c r="C1970" s="13"/>
      <c r="D1970" s="13"/>
    </row>
    <row r="1971" spans="1:4" ht="12.75">
      <c r="A1971" s="15"/>
      <c r="B1971" s="13"/>
      <c r="C1971" s="13"/>
      <c r="D1971" s="13"/>
    </row>
    <row r="1972" spans="1:4" ht="12.75">
      <c r="A1972" s="15"/>
      <c r="B1972" s="13"/>
      <c r="C1972" s="13"/>
      <c r="D1972" s="13"/>
    </row>
    <row r="1973" spans="1:4" ht="12.75">
      <c r="A1973" s="15"/>
      <c r="B1973" s="13"/>
      <c r="C1973" s="13"/>
      <c r="D1973" s="13"/>
    </row>
    <row r="1974" spans="1:4" ht="12.75">
      <c r="A1974" s="15"/>
      <c r="B1974" s="13"/>
      <c r="C1974" s="13"/>
      <c r="D1974" s="13"/>
    </row>
    <row r="1975" spans="1:4" ht="12.75">
      <c r="A1975" s="15"/>
      <c r="B1975" s="13"/>
      <c r="C1975" s="13"/>
      <c r="D1975" s="13"/>
    </row>
    <row r="1976" spans="1:4" ht="12.75">
      <c r="A1976" s="15"/>
      <c r="B1976" s="13"/>
      <c r="C1976" s="13"/>
      <c r="D1976" s="13"/>
    </row>
    <row r="1977" spans="1:4" ht="12.75">
      <c r="A1977" s="15"/>
      <c r="B1977" s="13"/>
      <c r="C1977" s="13"/>
      <c r="D1977" s="13"/>
    </row>
    <row r="1978" spans="1:4" ht="12.75">
      <c r="A1978" s="15"/>
      <c r="B1978" s="13"/>
      <c r="C1978" s="13"/>
      <c r="D1978" s="13"/>
    </row>
    <row r="1979" spans="1:4" ht="12.75">
      <c r="A1979" s="15"/>
      <c r="B1979" s="13"/>
      <c r="C1979" s="13"/>
      <c r="D1979" s="13"/>
    </row>
    <row r="1980" spans="1:4" ht="12.75">
      <c r="A1980" s="15"/>
      <c r="B1980" s="13"/>
      <c r="C1980" s="13"/>
      <c r="D1980" s="13"/>
    </row>
    <row r="1981" spans="1:4" ht="12.75">
      <c r="A1981" s="15"/>
      <c r="B1981" s="13"/>
      <c r="C1981" s="13"/>
      <c r="D1981" s="13"/>
    </row>
    <row r="1982" spans="1:4" ht="12.75">
      <c r="A1982" s="15"/>
      <c r="B1982" s="13"/>
      <c r="C1982" s="13"/>
      <c r="D1982" s="13"/>
    </row>
    <row r="1983" spans="1:4" ht="12.75">
      <c r="A1983" s="15"/>
      <c r="B1983" s="13"/>
      <c r="C1983" s="13"/>
      <c r="D1983" s="13"/>
    </row>
    <row r="1984" spans="1:4" ht="12.75">
      <c r="A1984" s="15"/>
      <c r="B1984" s="13"/>
      <c r="C1984" s="13"/>
      <c r="D1984" s="13"/>
    </row>
    <row r="1985" spans="1:4" ht="12.75">
      <c r="A1985" s="15"/>
      <c r="B1985" s="13"/>
      <c r="C1985" s="13"/>
      <c r="D1985" s="13"/>
    </row>
    <row r="1986" spans="1:4" ht="12.75">
      <c r="A1986" s="15"/>
      <c r="B1986" s="13"/>
      <c r="C1986" s="13"/>
      <c r="D1986" s="13"/>
    </row>
    <row r="1987" spans="1:4" ht="12.75">
      <c r="A1987" s="15"/>
      <c r="B1987" s="13"/>
      <c r="C1987" s="13"/>
      <c r="D1987" s="13"/>
    </row>
    <row r="1988" spans="1:4" ht="12.75">
      <c r="A1988" s="15"/>
      <c r="B1988" s="13"/>
      <c r="C1988" s="13"/>
      <c r="D1988" s="13"/>
    </row>
    <row r="1989" spans="1:4" ht="12.75">
      <c r="A1989" s="15"/>
      <c r="B1989" s="13"/>
      <c r="C1989" s="13"/>
      <c r="D1989" s="13"/>
    </row>
    <row r="1990" spans="1:4" ht="12.75">
      <c r="A1990" s="15"/>
      <c r="B1990" s="13"/>
      <c r="C1990" s="13"/>
      <c r="D1990" s="13"/>
    </row>
    <row r="1991" spans="1:4" ht="12.75">
      <c r="A1991" s="15"/>
      <c r="B1991" s="13"/>
      <c r="C1991" s="13"/>
      <c r="D1991" s="13"/>
    </row>
    <row r="1992" spans="1:4" ht="12.75">
      <c r="A1992" s="15"/>
      <c r="B1992" s="13"/>
      <c r="C1992" s="13"/>
      <c r="D1992" s="13"/>
    </row>
    <row r="1993" spans="1:4" ht="12.75">
      <c r="A1993" s="15"/>
      <c r="B1993" s="13"/>
      <c r="C1993" s="13"/>
      <c r="D1993" s="13"/>
    </row>
    <row r="1994" spans="1:4" ht="12.75">
      <c r="A1994" s="15"/>
      <c r="B1994" s="13"/>
      <c r="C1994" s="13"/>
      <c r="D1994" s="13"/>
    </row>
    <row r="1995" spans="1:4" ht="12.75">
      <c r="A1995" s="15"/>
      <c r="B1995" s="13"/>
      <c r="C1995" s="13"/>
      <c r="D1995" s="13"/>
    </row>
    <row r="1996" spans="1:4" ht="12.75">
      <c r="A1996" s="15"/>
      <c r="B1996" s="13"/>
      <c r="C1996" s="13"/>
      <c r="D1996" s="13"/>
    </row>
    <row r="1997" spans="1:4" ht="12.75">
      <c r="A1997" s="15"/>
      <c r="B1997" s="13"/>
      <c r="C1997" s="13"/>
      <c r="D1997" s="13"/>
    </row>
    <row r="1998" spans="1:4" ht="12.75">
      <c r="A1998" s="15"/>
      <c r="B1998" s="13"/>
      <c r="C1998" s="13"/>
      <c r="D1998" s="13"/>
    </row>
    <row r="1999" spans="1:4" ht="12.75">
      <c r="A1999" s="15"/>
      <c r="B1999" s="13"/>
      <c r="C1999" s="13"/>
      <c r="D1999" s="13"/>
    </row>
    <row r="2000" spans="1:4" ht="12.75">
      <c r="A2000" s="15"/>
      <c r="B2000" s="13"/>
      <c r="C2000" s="13"/>
      <c r="D2000" s="13"/>
    </row>
    <row r="2001" spans="1:4" ht="12.75">
      <c r="A2001" s="15"/>
      <c r="B2001" s="13"/>
      <c r="C2001" s="13"/>
      <c r="D2001" s="13"/>
    </row>
    <row r="2002" spans="1:4" ht="12.75">
      <c r="A2002" s="15"/>
      <c r="B2002" s="13"/>
      <c r="C2002" s="13"/>
      <c r="D2002" s="13"/>
    </row>
    <row r="2003" spans="1:4" ht="12.75">
      <c r="A2003" s="15"/>
      <c r="B2003" s="13"/>
      <c r="C2003" s="13"/>
      <c r="D2003" s="13"/>
    </row>
    <row r="2004" spans="1:4" ht="12.75">
      <c r="A2004" s="15"/>
      <c r="B2004" s="13"/>
      <c r="C2004" s="13"/>
      <c r="D2004" s="13"/>
    </row>
    <row r="2005" spans="1:4" ht="12.75">
      <c r="A2005" s="15"/>
      <c r="B2005" s="13"/>
      <c r="C2005" s="13"/>
      <c r="D2005" s="13"/>
    </row>
    <row r="2006" spans="1:4" ht="12.75">
      <c r="A2006" s="15"/>
      <c r="B2006" s="13"/>
      <c r="C2006" s="13"/>
      <c r="D2006" s="13"/>
    </row>
    <row r="2007" spans="1:4" ht="12.75">
      <c r="A2007" s="15"/>
      <c r="B2007" s="13"/>
      <c r="C2007" s="13"/>
      <c r="D2007" s="13"/>
    </row>
    <row r="2008" spans="1:4" ht="12.75">
      <c r="A2008" s="15"/>
      <c r="B2008" s="13"/>
      <c r="C2008" s="13"/>
      <c r="D2008" s="13"/>
    </row>
    <row r="2009" spans="1:4" ht="12.75">
      <c r="A2009" s="15"/>
      <c r="B2009" s="13"/>
      <c r="C2009" s="13"/>
      <c r="D2009" s="13"/>
    </row>
    <row r="2010" spans="1:4" ht="12.75">
      <c r="A2010" s="15"/>
      <c r="B2010" s="13"/>
      <c r="C2010" s="13"/>
      <c r="D2010" s="13"/>
    </row>
    <row r="2011" spans="1:4" ht="12.75">
      <c r="A2011" s="15"/>
      <c r="B2011" s="13"/>
      <c r="C2011" s="13"/>
      <c r="D2011" s="13"/>
    </row>
    <row r="2012" spans="1:4" ht="12.75">
      <c r="A2012" s="15"/>
      <c r="B2012" s="13"/>
      <c r="C2012" s="13"/>
      <c r="D2012" s="13"/>
    </row>
    <row r="2013" spans="1:4" ht="12.75">
      <c r="A2013" s="15"/>
      <c r="B2013" s="13"/>
      <c r="C2013" s="13"/>
      <c r="D2013" s="13"/>
    </row>
    <row r="2014" spans="1:4" ht="12.75">
      <c r="A2014" s="15"/>
      <c r="B2014" s="13"/>
      <c r="C2014" s="13"/>
      <c r="D2014" s="13"/>
    </row>
    <row r="2015" spans="1:4" ht="12.75">
      <c r="A2015" s="15"/>
      <c r="B2015" s="13"/>
      <c r="C2015" s="13"/>
      <c r="D2015" s="13"/>
    </row>
    <row r="2016" spans="1:4" ht="12.75">
      <c r="A2016" s="15"/>
      <c r="B2016" s="13"/>
      <c r="C2016" s="13"/>
      <c r="D2016" s="13"/>
    </row>
    <row r="2017" spans="1:4" ht="12.75">
      <c r="A2017" s="15"/>
      <c r="B2017" s="13"/>
      <c r="C2017" s="13"/>
      <c r="D2017" s="13"/>
    </row>
    <row r="2018" spans="1:4" ht="12.75">
      <c r="A2018" s="15"/>
      <c r="B2018" s="13"/>
      <c r="C2018" s="13"/>
      <c r="D2018" s="13"/>
    </row>
    <row r="2019" spans="1:4" ht="12.75">
      <c r="A2019" s="15"/>
      <c r="B2019" s="13"/>
      <c r="C2019" s="13"/>
      <c r="D2019" s="13"/>
    </row>
    <row r="2020" spans="1:4" ht="12.75">
      <c r="A2020" s="15"/>
      <c r="B2020" s="13"/>
      <c r="C2020" s="13"/>
      <c r="D2020" s="13"/>
    </row>
    <row r="2021" spans="1:4" ht="12.75">
      <c r="A2021" s="15"/>
      <c r="B2021" s="13"/>
      <c r="C2021" s="13"/>
      <c r="D2021" s="13"/>
    </row>
    <row r="2022" spans="1:4" ht="12.75">
      <c r="A2022" s="15"/>
      <c r="B2022" s="13"/>
      <c r="C2022" s="13"/>
      <c r="D2022" s="13"/>
    </row>
    <row r="2023" spans="1:4" ht="12.75">
      <c r="A2023" s="15"/>
      <c r="B2023" s="13"/>
      <c r="C2023" s="13"/>
      <c r="D2023" s="13"/>
    </row>
    <row r="2024" spans="1:4" ht="12.75">
      <c r="A2024" s="15"/>
      <c r="B2024" s="13"/>
      <c r="C2024" s="13"/>
      <c r="D2024" s="13"/>
    </row>
    <row r="2025" spans="1:4" ht="12.75">
      <c r="A2025" s="15"/>
      <c r="B2025" s="13"/>
      <c r="C2025" s="13"/>
      <c r="D2025" s="13"/>
    </row>
    <row r="2026" spans="1:4" ht="12.75">
      <c r="A2026" s="15"/>
      <c r="B2026" s="13"/>
      <c r="C2026" s="13"/>
      <c r="D2026" s="13"/>
    </row>
    <row r="2027" spans="1:4" ht="12.75">
      <c r="A2027" s="15"/>
      <c r="B2027" s="13"/>
      <c r="C2027" s="13"/>
      <c r="D2027" s="13"/>
    </row>
    <row r="2028" spans="1:4" ht="12.75">
      <c r="A2028" s="15"/>
      <c r="B2028" s="13"/>
      <c r="C2028" s="13"/>
      <c r="D2028" s="13"/>
    </row>
    <row r="2029" spans="1:4" ht="12.75">
      <c r="A2029" s="15"/>
      <c r="B2029" s="13"/>
      <c r="C2029" s="13"/>
      <c r="D2029" s="13"/>
    </row>
    <row r="2030" spans="1:4" ht="12.75">
      <c r="A2030" s="15"/>
      <c r="B2030" s="13"/>
      <c r="C2030" s="13"/>
      <c r="D2030" s="13"/>
    </row>
    <row r="2031" spans="1:4" ht="12.75">
      <c r="A2031" s="15"/>
      <c r="B2031" s="13"/>
      <c r="C2031" s="13"/>
      <c r="D2031" s="13"/>
    </row>
    <row r="2032" spans="1:4" ht="12.75">
      <c r="A2032" s="15"/>
      <c r="B2032" s="13"/>
      <c r="C2032" s="13"/>
      <c r="D2032" s="13"/>
    </row>
    <row r="2033" spans="1:4" ht="12.75">
      <c r="A2033" s="15"/>
      <c r="B2033" s="13"/>
      <c r="C2033" s="13"/>
      <c r="D2033" s="13"/>
    </row>
    <row r="2034" spans="1:4" ht="12.75">
      <c r="A2034" s="15"/>
      <c r="B2034" s="13"/>
      <c r="C2034" s="13"/>
      <c r="D2034"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price_site_xls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Виталий</cp:lastModifiedBy>
  <dcterms:modified xsi:type="dcterms:W3CDTF">2024-05-08T12:25:08Z</dcterms:modified>
</cp:coreProperties>
</file>